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dossier travail\prestation\prestation\A garder\2026\06-2026\04.2026\Comptes 03.2026\"/>
    </mc:Choice>
  </mc:AlternateContent>
  <xr:revisionPtr revIDLastSave="0" documentId="13_ncr:1_{20951BDD-5389-4BCB-B8C3-3394EB4C02D6}" xr6:coauthVersionLast="47" xr6:coauthVersionMax="47" xr10:uidLastSave="{00000000-0000-0000-0000-000000000000}"/>
  <bookViews>
    <workbookView xWindow="4620" yWindow="3528" windowWidth="17256" windowHeight="8808" xr2:uid="{2D11A1B9-6F6E-4C21-A7C8-BDDF6E29DC93}"/>
  </bookViews>
  <sheets>
    <sheet name="Suivi budget general" sheetId="11" r:id="rId1"/>
    <sheet name="Suivi budget de fonctionnement" sheetId="2" r:id="rId2"/>
    <sheet name="Suivi budget d'investissement" sheetId="10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2" l="1"/>
  <c r="D8" i="2"/>
  <c r="E8" i="2"/>
  <c r="E8" i="11" s="1"/>
  <c r="G8" i="2"/>
  <c r="H8" i="2"/>
  <c r="I8" i="2"/>
  <c r="I8" i="11" s="1"/>
  <c r="J8" i="2"/>
  <c r="K8" i="2"/>
  <c r="L8" i="2"/>
  <c r="M8" i="2"/>
  <c r="C8" i="2"/>
  <c r="C8" i="11"/>
  <c r="D8" i="11"/>
  <c r="G8" i="11"/>
  <c r="H8" i="11"/>
  <c r="J8" i="11"/>
  <c r="K8" i="11"/>
  <c r="L8" i="11"/>
  <c r="M8" i="11"/>
  <c r="N8" i="11"/>
  <c r="F8" i="2" l="1"/>
  <c r="F8" i="11" s="1"/>
  <c r="P23" i="10" l="1"/>
  <c r="I7" i="10"/>
  <c r="J7" i="10"/>
  <c r="K7" i="10"/>
  <c r="L7" i="10"/>
  <c r="M7" i="10"/>
  <c r="N7" i="10"/>
  <c r="O7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C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C22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C20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C16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C15" i="10"/>
  <c r="I14" i="10"/>
  <c r="J14" i="10"/>
  <c r="K14" i="10"/>
  <c r="L14" i="10"/>
  <c r="M14" i="10"/>
  <c r="N14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C13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C11" i="10"/>
  <c r="D6" i="10"/>
  <c r="E6" i="10"/>
  <c r="F6" i="10"/>
  <c r="G6" i="10"/>
  <c r="H6" i="10"/>
  <c r="I6" i="10"/>
  <c r="J6" i="10"/>
  <c r="K6" i="10"/>
  <c r="L6" i="10"/>
  <c r="M6" i="10"/>
  <c r="N6" i="10"/>
  <c r="O6" i="10"/>
  <c r="C6" i="10"/>
  <c r="H14" i="10"/>
  <c r="G14" i="10" l="1"/>
  <c r="F14" i="10"/>
  <c r="E14" i="10"/>
  <c r="D14" i="10"/>
  <c r="C14" i="10"/>
  <c r="H7" i="10"/>
  <c r="G7" i="10"/>
  <c r="F7" i="10"/>
  <c r="E7" i="10"/>
  <c r="D7" i="10"/>
  <c r="C7" i="10"/>
  <c r="O14" i="10" l="1"/>
  <c r="D13" i="2" l="1"/>
  <c r="E13" i="2"/>
  <c r="F13" i="2"/>
  <c r="G13" i="2"/>
  <c r="H13" i="2"/>
  <c r="I13" i="2"/>
  <c r="J13" i="2"/>
  <c r="K13" i="2"/>
  <c r="L13" i="2"/>
  <c r="M13" i="2"/>
  <c r="N13" i="2"/>
  <c r="C13" i="2"/>
  <c r="D11" i="2" l="1"/>
  <c r="E11" i="2"/>
  <c r="F11" i="2"/>
  <c r="G11" i="2"/>
  <c r="H11" i="2"/>
  <c r="I11" i="2"/>
  <c r="J11" i="2"/>
  <c r="K11" i="2"/>
  <c r="L11" i="2"/>
  <c r="M11" i="2"/>
  <c r="N11" i="2"/>
  <c r="C11" i="2"/>
  <c r="D10" i="2" l="1"/>
  <c r="E10" i="2"/>
  <c r="F10" i="2"/>
  <c r="G10" i="2"/>
  <c r="H10" i="2"/>
  <c r="I10" i="2"/>
  <c r="J10" i="2"/>
  <c r="K10" i="2"/>
  <c r="L10" i="2"/>
  <c r="M10" i="2"/>
  <c r="N10" i="2"/>
  <c r="C10" i="2"/>
  <c r="D9" i="2" l="1"/>
  <c r="E9" i="2"/>
  <c r="F9" i="2"/>
  <c r="G9" i="2"/>
  <c r="H9" i="2"/>
  <c r="I9" i="2"/>
  <c r="J9" i="2"/>
  <c r="K9" i="2"/>
  <c r="L9" i="2"/>
  <c r="M9" i="2"/>
  <c r="N9" i="2"/>
  <c r="C9" i="2"/>
  <c r="D9" i="11" l="1"/>
  <c r="E9" i="11"/>
  <c r="F9" i="11"/>
  <c r="G9" i="11"/>
  <c r="H9" i="11"/>
  <c r="I9" i="11"/>
  <c r="J9" i="11"/>
  <c r="K9" i="11"/>
  <c r="L9" i="11"/>
  <c r="M9" i="11"/>
  <c r="N9" i="11"/>
  <c r="C9" i="11"/>
  <c r="O8" i="10" l="1"/>
  <c r="O9" i="10"/>
  <c r="O10" i="10"/>
  <c r="O12" i="10"/>
  <c r="O17" i="10"/>
  <c r="O18" i="10"/>
  <c r="O19" i="10"/>
  <c r="O23" i="10" l="1"/>
  <c r="D23" i="10"/>
  <c r="G23" i="10"/>
  <c r="J23" i="10" l="1"/>
  <c r="H23" i="10"/>
  <c r="L23" i="10"/>
  <c r="M23" i="10"/>
  <c r="K23" i="10"/>
  <c r="E23" i="10"/>
  <c r="I23" i="10"/>
  <c r="N23" i="10"/>
  <c r="F23" i="10"/>
  <c r="D13" i="11" l="1"/>
  <c r="E13" i="11"/>
  <c r="F13" i="11"/>
  <c r="G13" i="11"/>
  <c r="H13" i="11"/>
  <c r="I13" i="11"/>
  <c r="K13" i="11"/>
  <c r="L13" i="11"/>
  <c r="M13" i="11"/>
  <c r="N13" i="11"/>
  <c r="C13" i="11"/>
  <c r="O13" i="2" l="1"/>
  <c r="R13" i="2" s="1"/>
  <c r="J13" i="11"/>
  <c r="B16" i="11" l="1"/>
  <c r="O9" i="11" l="1"/>
  <c r="O13" i="11"/>
  <c r="P9" i="11" l="1"/>
  <c r="Q9" i="11"/>
  <c r="P13" i="11"/>
  <c r="Q13" i="11"/>
  <c r="D11" i="11" l="1"/>
  <c r="E11" i="11"/>
  <c r="F11" i="11"/>
  <c r="G11" i="11"/>
  <c r="H11" i="11"/>
  <c r="I11" i="11"/>
  <c r="J11" i="11"/>
  <c r="K11" i="11"/>
  <c r="L11" i="11"/>
  <c r="M11" i="11"/>
  <c r="N11" i="11"/>
  <c r="C11" i="11"/>
  <c r="O11" i="11" l="1"/>
  <c r="Q11" i="11" s="1"/>
  <c r="O11" i="2"/>
  <c r="P11" i="11" l="1"/>
  <c r="Q11" i="2" l="1"/>
  <c r="P11" i="2"/>
  <c r="B15" i="2" l="1"/>
  <c r="O9" i="2" l="1"/>
  <c r="R9" i="2" s="1"/>
  <c r="P9" i="2" l="1"/>
  <c r="Q9" i="2"/>
  <c r="P13" i="2" l="1"/>
  <c r="Q13" i="2"/>
  <c r="D15" i="11" l="1"/>
  <c r="E15" i="11"/>
  <c r="F15" i="11"/>
  <c r="G15" i="11"/>
  <c r="H15" i="11"/>
  <c r="I15" i="11"/>
  <c r="J15" i="11"/>
  <c r="K15" i="11"/>
  <c r="L15" i="11"/>
  <c r="M15" i="11"/>
  <c r="N15" i="11"/>
  <c r="C23" i="10"/>
  <c r="C15" i="11" l="1"/>
  <c r="O15" i="11"/>
  <c r="P15" i="11" l="1"/>
  <c r="Q15" i="11"/>
  <c r="O26" i="10" l="1"/>
  <c r="O8" i="2" l="1"/>
  <c r="R8" i="2" s="1"/>
  <c r="O8" i="11" l="1"/>
  <c r="Q8" i="11" s="1"/>
  <c r="P8" i="2"/>
  <c r="Q8" i="2"/>
  <c r="P8" i="11" l="1"/>
  <c r="E10" i="11"/>
  <c r="I10" i="11" l="1"/>
  <c r="J10" i="11"/>
  <c r="K10" i="11"/>
  <c r="C10" i="11"/>
  <c r="O10" i="2"/>
  <c r="R10" i="2" s="1"/>
  <c r="L10" i="11"/>
  <c r="D10" i="11"/>
  <c r="M10" i="11"/>
  <c r="F10" i="11"/>
  <c r="H10" i="11"/>
  <c r="N10" i="11"/>
  <c r="G10" i="11"/>
  <c r="P10" i="2" l="1"/>
  <c r="Q10" i="2"/>
  <c r="O10" i="11"/>
  <c r="Q10" i="11" l="1"/>
  <c r="P10" i="11"/>
  <c r="N14" i="2" l="1"/>
  <c r="M14" i="2"/>
  <c r="L14" i="2"/>
  <c r="K14" i="2"/>
  <c r="J14" i="2"/>
  <c r="I14" i="2"/>
  <c r="G14" i="2"/>
  <c r="G15" i="2" s="1"/>
  <c r="F14" i="2"/>
  <c r="E14" i="2"/>
  <c r="D14" i="2"/>
  <c r="C14" i="2"/>
  <c r="J14" i="11" l="1"/>
  <c r="J15" i="2"/>
  <c r="F14" i="11"/>
  <c r="F15" i="2"/>
  <c r="I14" i="11"/>
  <c r="I15" i="2"/>
  <c r="K14" i="11"/>
  <c r="K15" i="2"/>
  <c r="C14" i="11"/>
  <c r="C15" i="2"/>
  <c r="L14" i="11"/>
  <c r="L15" i="2"/>
  <c r="D14" i="11"/>
  <c r="D15" i="2"/>
  <c r="M14" i="11"/>
  <c r="M15" i="2"/>
  <c r="E14" i="11"/>
  <c r="E15" i="2"/>
  <c r="N14" i="11"/>
  <c r="N15" i="2"/>
  <c r="H14" i="2"/>
  <c r="G14" i="11"/>
  <c r="D12" i="2"/>
  <c r="H12" i="2"/>
  <c r="M12" i="2"/>
  <c r="I12" i="2"/>
  <c r="K12" i="2"/>
  <c r="N12" i="2"/>
  <c r="L12" i="2"/>
  <c r="G12" i="2"/>
  <c r="E12" i="2"/>
  <c r="C12" i="2"/>
  <c r="H14" i="11" l="1"/>
  <c r="H16" i="11" s="1"/>
  <c r="H15" i="2"/>
  <c r="O14" i="2"/>
  <c r="R14" i="2" s="1"/>
  <c r="K12" i="11"/>
  <c r="K16" i="11" s="1"/>
  <c r="C12" i="11"/>
  <c r="C16" i="11" s="1"/>
  <c r="E12" i="11"/>
  <c r="E16" i="11" s="1"/>
  <c r="H12" i="11"/>
  <c r="L12" i="11"/>
  <c r="L16" i="11" s="1"/>
  <c r="I12" i="11"/>
  <c r="I16" i="11" s="1"/>
  <c r="D12" i="11"/>
  <c r="D16" i="11" s="1"/>
  <c r="N12" i="11"/>
  <c r="N16" i="11" s="1"/>
  <c r="M12" i="11"/>
  <c r="M16" i="11" s="1"/>
  <c r="G12" i="11"/>
  <c r="G16" i="11" s="1"/>
  <c r="F12" i="2"/>
  <c r="J12" i="2"/>
  <c r="O14" i="11" l="1"/>
  <c r="Q14" i="2"/>
  <c r="P14" i="2"/>
  <c r="J12" i="11"/>
  <c r="J16" i="11" s="1"/>
  <c r="O12" i="2"/>
  <c r="O15" i="2" s="1"/>
  <c r="Q15" i="2" s="1"/>
  <c r="F12" i="11"/>
  <c r="F16" i="11" s="1"/>
  <c r="Q14" i="11"/>
  <c r="P14" i="11"/>
  <c r="Q12" i="2" l="1"/>
  <c r="O12" i="11"/>
  <c r="O16" i="11" s="1"/>
  <c r="P12" i="2"/>
  <c r="P15" i="2" s="1"/>
  <c r="R12" i="2"/>
  <c r="Q12" i="11" l="1"/>
  <c r="P12" i="11"/>
  <c r="P16" i="11" s="1"/>
  <c r="Q16" i="11"/>
</calcChain>
</file>

<file path=xl/sharedStrings.xml><?xml version="1.0" encoding="utf-8"?>
<sst xmlns="http://schemas.openxmlformats.org/spreadsheetml/2006/main" count="84" uniqueCount="50">
  <si>
    <t>Désignation</t>
  </si>
  <si>
    <t>Reliquat</t>
  </si>
  <si>
    <t>Total Dép</t>
  </si>
  <si>
    <t>% dép/budget</t>
  </si>
  <si>
    <t>Traitement des nuisibles</t>
  </si>
  <si>
    <t>Animation</t>
  </si>
  <si>
    <t>Divers et imprévus</t>
  </si>
  <si>
    <t>Février</t>
  </si>
  <si>
    <t>Mars</t>
  </si>
  <si>
    <t>Avril</t>
  </si>
  <si>
    <t>Mai</t>
  </si>
  <si>
    <t>Frais du personnel</t>
  </si>
  <si>
    <t>Propreté et nettoyage</t>
  </si>
  <si>
    <t>Dépenses</t>
  </si>
  <si>
    <t xml:space="preserve"> Janvier </t>
  </si>
  <si>
    <t>Juillet</t>
  </si>
  <si>
    <t>Août</t>
  </si>
  <si>
    <t>Septembre</t>
  </si>
  <si>
    <t>Octobre</t>
  </si>
  <si>
    <t>Novembre</t>
  </si>
  <si>
    <t>Décembre</t>
  </si>
  <si>
    <t>Reliquat Budget</t>
  </si>
  <si>
    <t>juin</t>
  </si>
  <si>
    <t>Janvier</t>
  </si>
  <si>
    <t>Juin</t>
  </si>
  <si>
    <t>01-Club du hameau</t>
  </si>
  <si>
    <t>02-Rénovation des ponts</t>
  </si>
  <si>
    <t>03-Réhabilitations des trottoirs</t>
  </si>
  <si>
    <t>04-Mobiliers Urbains</t>
  </si>
  <si>
    <t>05-Divers aménagements &amp; équipements</t>
  </si>
  <si>
    <t>06-Matèriel de sécurité et surveillance</t>
  </si>
  <si>
    <t>08-Equipement pour le personnel</t>
  </si>
  <si>
    <t>10-Eclairage des voies publiques</t>
  </si>
  <si>
    <t>11-Mur de clôture</t>
  </si>
  <si>
    <t>12-Aménagement jardin du lac</t>
  </si>
  <si>
    <t>13-Rénovation des passages</t>
  </si>
  <si>
    <t>14-Rénovation des parkings</t>
  </si>
  <si>
    <t>15-Canal paysager</t>
  </si>
  <si>
    <t>16-Aménagement des nouveaux jardins</t>
  </si>
  <si>
    <t>16-Matériel et outillage</t>
  </si>
  <si>
    <t>Frais d'entretien</t>
  </si>
  <si>
    <t>Espace vert collectifs</t>
  </si>
  <si>
    <t>Investissement</t>
  </si>
  <si>
    <t>Espace vert collectif</t>
  </si>
  <si>
    <t>09-Réhabilitation des fontaines</t>
  </si>
  <si>
    <t>07-Matèriel de mobilité et transport</t>
  </si>
  <si>
    <t>Budget prévu 2026</t>
  </si>
  <si>
    <t>Réalisation du budget général du 01/01/2026 Au 31/12/2026</t>
  </si>
  <si>
    <t>Mt prévu 2026</t>
  </si>
  <si>
    <t>Réalisation du budget de fonctionnement du 01/01/2026 Au 31/12/2026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</si>
</sst>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40C]d\-mmm;@"/>
    <numFmt numFmtId="165" formatCode="_-* #,##0.00\ _€_-;\-* #,##0.00\ _€_-;_-* &quot;-&quot;??\ _€_-;_-@_-"/>
    <numFmt numFmtId="166" formatCode="_-* #,##0.00\ _D_H_-;\-* #,##0.00\ _D_H_-;_-* &quot;-&quot;??\ _D_H_-;_-@_-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name val="Calibri Light"/>
      <family val="1"/>
      <scheme val="maj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E1F2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theme="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theme="6"/>
      </top>
      <bottom/>
      <diagonal/>
    </border>
    <border>
      <left style="thick">
        <color theme="0"/>
      </left>
      <right/>
      <top style="thin">
        <color theme="6"/>
      </top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theme="6"/>
      </top>
      <bottom/>
      <diagonal/>
    </border>
    <border>
      <left/>
      <right style="medium">
        <color indexed="64"/>
      </right>
      <top style="thin">
        <color theme="6"/>
      </top>
      <bottom style="medium">
        <color indexed="64"/>
      </bottom>
      <diagonal/>
    </border>
    <border>
      <left style="medium">
        <color indexed="64"/>
      </left>
      <right/>
      <top style="thin">
        <color theme="6"/>
      </top>
      <bottom style="medium">
        <color indexed="64"/>
      </bottom>
      <diagonal/>
    </border>
    <border>
      <left/>
      <right style="medium">
        <color rgb="FF000000"/>
      </right>
      <top style="thin">
        <color theme="4"/>
      </top>
      <bottom/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5" applyNumberFormat="0" applyFill="0" applyAlignment="0" applyProtection="0"/>
  </cellStyleXfs>
  <cellXfs count="63">
    <xf numFmtId="0" fontId="0" fillId="0" borderId="0" xfId="0"/>
    <xf numFmtId="4" fontId="0" fillId="0" borderId="0" xfId="0" applyNumberFormat="1"/>
    <xf numFmtId="0" fontId="1" fillId="0" borderId="0" xfId="0" applyFont="1" applyAlignment="1">
      <alignment vertical="center"/>
    </xf>
    <xf numFmtId="4" fontId="0" fillId="0" borderId="2" xfId="0" applyNumberFormat="1" applyBorder="1"/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/>
    <xf numFmtId="4" fontId="5" fillId="0" borderId="4" xfId="0" applyNumberFormat="1" applyFont="1" applyBorder="1"/>
    <xf numFmtId="4" fontId="0" fillId="0" borderId="4" xfId="0" applyNumberFormat="1" applyBorder="1"/>
    <xf numFmtId="4" fontId="5" fillId="0" borderId="2" xfId="0" applyNumberFormat="1" applyFont="1" applyBorder="1"/>
    <xf numFmtId="4" fontId="5" fillId="0" borderId="3" xfId="0" applyNumberFormat="1" applyFont="1" applyBorder="1"/>
    <xf numFmtId="4" fontId="5" fillId="0" borderId="4" xfId="0" applyNumberFormat="1" applyFont="1" applyBorder="1" applyAlignment="1">
      <alignment vertical="center"/>
    </xf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0" fillId="0" borderId="0" xfId="0" applyAlignment="1">
      <alignment horizontal="justify" vertical="center" shrinkToFit="1"/>
    </xf>
    <xf numFmtId="0" fontId="0" fillId="0" borderId="0" xfId="0" applyAlignment="1">
      <alignment horizontal="justify" vertical="justify"/>
    </xf>
    <xf numFmtId="10" fontId="6" fillId="0" borderId="1" xfId="1" applyNumberFormat="1" applyFont="1" applyBorder="1" applyAlignment="1">
      <alignment horizontal="center" vertical="center"/>
    </xf>
    <xf numFmtId="165" fontId="0" fillId="0" borderId="0" xfId="0" applyNumberFormat="1"/>
    <xf numFmtId="0" fontId="0" fillId="4" borderId="0" xfId="0" applyFill="1"/>
    <xf numFmtId="0" fontId="0" fillId="4" borderId="9" xfId="0" applyFill="1" applyBorder="1"/>
    <xf numFmtId="0" fontId="10" fillId="0" borderId="10" xfId="3" applyFont="1" applyFill="1" applyBorder="1" applyAlignment="1">
      <alignment horizontal="center" vertical="center"/>
    </xf>
    <xf numFmtId="0" fontId="0" fillId="5" borderId="0" xfId="0" applyFill="1"/>
    <xf numFmtId="0" fontId="11" fillId="6" borderId="11" xfId="0" applyFont="1" applyFill="1" applyBorder="1" applyAlignment="1">
      <alignment horizontal="left" vertical="center" indent="1"/>
    </xf>
    <xf numFmtId="43" fontId="0" fillId="4" borderId="12" xfId="2" applyFont="1" applyFill="1" applyBorder="1"/>
    <xf numFmtId="43" fontId="0" fillId="4" borderId="13" xfId="2" applyFont="1" applyFill="1" applyBorder="1"/>
    <xf numFmtId="43" fontId="0" fillId="4" borderId="14" xfId="2" applyFont="1" applyFill="1" applyBorder="1"/>
    <xf numFmtId="43" fontId="0" fillId="4" borderId="15" xfId="2" applyFont="1" applyFill="1" applyBorder="1"/>
    <xf numFmtId="165" fontId="0" fillId="4" borderId="16" xfId="0" applyNumberFormat="1" applyFill="1" applyBorder="1"/>
    <xf numFmtId="0" fontId="9" fillId="0" borderId="18" xfId="0" applyFont="1" applyBorder="1"/>
    <xf numFmtId="166" fontId="0" fillId="3" borderId="0" xfId="0" applyNumberFormat="1" applyFill="1"/>
    <xf numFmtId="43" fontId="9" fillId="7" borderId="0" xfId="2" applyFont="1" applyFill="1" applyAlignment="1">
      <alignment vertical="center"/>
    </xf>
    <xf numFmtId="43" fontId="9" fillId="4" borderId="17" xfId="2" applyFont="1" applyFill="1" applyBorder="1"/>
    <xf numFmtId="165" fontId="0" fillId="0" borderId="0" xfId="0" applyNumberFormat="1" applyAlignment="1">
      <alignment horizontal="justify" vertical="justify"/>
    </xf>
    <xf numFmtId="4" fontId="6" fillId="0" borderId="3" xfId="0" applyNumberFormat="1" applyFont="1" applyBorder="1"/>
    <xf numFmtId="4" fontId="0" fillId="0" borderId="3" xfId="0" applyNumberFormat="1" applyBorder="1"/>
    <xf numFmtId="4" fontId="5" fillId="0" borderId="3" xfId="0" applyNumberFormat="1" applyFont="1" applyBorder="1" applyAlignment="1">
      <alignment vertical="center"/>
    </xf>
    <xf numFmtId="43" fontId="0" fillId="0" borderId="0" xfId="0" applyNumberFormat="1"/>
    <xf numFmtId="0" fontId="0" fillId="0" borderId="0" xfId="0" applyFill="1"/>
    <xf numFmtId="4" fontId="0" fillId="0" borderId="0" xfId="0" applyNumberFormat="1" applyFill="1"/>
    <xf numFmtId="0" fontId="1" fillId="0" borderId="0" xfId="0" applyFont="1" applyFill="1" applyAlignment="1">
      <alignment vertical="center"/>
    </xf>
    <xf numFmtId="4" fontId="1" fillId="2" borderId="6" xfId="0" applyNumberFormat="1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164" fontId="1" fillId="8" borderId="1" xfId="0" applyNumberFormat="1" applyFont="1" applyFill="1" applyBorder="1" applyAlignment="1">
      <alignment horizontal="center" vertical="center"/>
    </xf>
    <xf numFmtId="43" fontId="0" fillId="4" borderId="19" xfId="2" applyFont="1" applyFill="1" applyBorder="1"/>
    <xf numFmtId="43" fontId="0" fillId="4" borderId="20" xfId="2" applyFont="1" applyFill="1" applyBorder="1"/>
    <xf numFmtId="43" fontId="0" fillId="4" borderId="21" xfId="2" applyFont="1" applyFill="1" applyBorder="1"/>
    <xf numFmtId="4" fontId="12" fillId="0" borderId="23" xfId="0" applyNumberFormat="1" applyFont="1" applyBorder="1"/>
    <xf numFmtId="43" fontId="0" fillId="4" borderId="22" xfId="2" applyFont="1" applyFill="1" applyBorder="1"/>
    <xf numFmtId="4" fontId="0" fillId="0" borderId="2" xfId="0" applyNumberFormat="1" applyFill="1" applyBorder="1"/>
    <xf numFmtId="4" fontId="5" fillId="0" borderId="2" xfId="0" applyNumberFormat="1" applyFont="1" applyFill="1" applyBorder="1"/>
    <xf numFmtId="4" fontId="5" fillId="0" borderId="2" xfId="0" applyNumberFormat="1" applyFont="1" applyFill="1" applyBorder="1" applyAlignment="1">
      <alignment vertical="center"/>
    </xf>
    <xf numFmtId="4" fontId="13" fillId="0" borderId="0" xfId="0" applyNumberFormat="1" applyFont="1" applyAlignment="1">
      <alignment wrapText="1"/>
    </xf>
    <xf numFmtId="4" fontId="6" fillId="0" borderId="1" xfId="0" applyNumberFormat="1" applyFont="1" applyBorder="1" applyAlignment="1">
      <alignment vertical="center"/>
    </xf>
    <xf numFmtId="9" fontId="6" fillId="0" borderId="3" xfId="1" applyFont="1" applyBorder="1"/>
    <xf numFmtId="0" fontId="2" fillId="0" borderId="0" xfId="0" applyFont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4" fontId="1" fillId="3" borderId="0" xfId="0" applyNumberFormat="1" applyFont="1" applyFill="1" applyAlignment="1">
      <alignment vertical="center" shrinkToFit="1"/>
    </xf>
  </cellXfs>
  <cellStyles count="4">
    <cellStyle name="Milliers" xfId="2" builtinId="3"/>
    <cellStyle name="Normal" xfId="0" builtinId="0"/>
    <cellStyle name="Pourcentage" xfId="1" builtinId="5"/>
    <cellStyle name="Titre 1" xfId="3" builtinId="16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114299</xdr:rowOff>
    </xdr:from>
    <xdr:to>
      <xdr:col>15</xdr:col>
      <xdr:colOff>0</xdr:colOff>
      <xdr:row>2</xdr:row>
      <xdr:rowOff>95251</xdr:rowOff>
    </xdr:to>
    <xdr:sp macro="" textlink="">
      <xdr:nvSpPr>
        <xdr:cNvPr id="2" name="Titre" descr="Budget simple" title="Titre du modèle">
          <a:extLst>
            <a:ext uri="{FF2B5EF4-FFF2-40B4-BE49-F238E27FC236}">
              <a16:creationId xmlns:a16="http://schemas.microsoft.com/office/drawing/2014/main" id="{44FF564D-74DE-406C-859F-7E65AAF0336A}"/>
            </a:ext>
          </a:extLst>
        </xdr:cNvPr>
        <xdr:cNvSpPr txBox="1"/>
      </xdr:nvSpPr>
      <xdr:spPr>
        <a:xfrm>
          <a:off x="792480" y="845819"/>
          <a:ext cx="13167360" cy="346712"/>
        </a:xfrm>
        <a:prstGeom prst="rect">
          <a:avLst/>
        </a:prstGeom>
        <a:solidFill>
          <a:srgbClr val="D9E1F2"/>
        </a:solidFill>
        <a:ln>
          <a:noFill/>
        </a:ln>
      </xdr:spPr>
      <xdr:style>
        <a:lnRef idx="3">
          <a:schemeClr val="lt1"/>
        </a:lnRef>
        <a:fillRef idx="1003">
          <a:schemeClr val="dk2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lIns="457200" rtlCol="0" anchor="ctr"/>
        <a:lstStyle/>
        <a:p>
          <a:pPr algn="l"/>
          <a:r>
            <a:rPr lang="en-US" sz="3200">
              <a:solidFill>
                <a:schemeClr val="accent1">
                  <a:lumMod val="75000"/>
                </a:schemeClr>
              </a:solidFill>
              <a:latin typeface="+mj-lt"/>
            </a:rPr>
            <a:t>Les charges d'investissement 2026</a:t>
          </a:r>
        </a:p>
        <a:p>
          <a:pPr algn="l"/>
          <a:endParaRPr lang="en-US" sz="3200">
            <a:solidFill>
              <a:schemeClr val="bg1"/>
            </a:solidFill>
            <a:latin typeface="+mj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.Frais-du-personnel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.Proprete%20et%20nettoyage%2020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5.Traitement%20des%20nuisibles%2020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6.Frais%20d'entretien%20202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7.Animation%20202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8.Divers%20et%20impr&#233;vus%20202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9.Investissements-202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4.Espace-vert-Collectif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cap"/>
      <sheetName val="Janv"/>
      <sheetName val="Fév"/>
      <sheetName val="Mars"/>
      <sheetName val="Avril"/>
      <sheetName val="Mai"/>
      <sheetName val="Juin"/>
      <sheetName val="Juillet"/>
      <sheetName val="Août"/>
      <sheetName val="Sept"/>
      <sheetName val="Oct"/>
      <sheetName val="Nov"/>
      <sheetName val="Déc"/>
    </sheetNames>
    <sheetDataSet>
      <sheetData sheetId="0">
        <row r="22">
          <cell r="B22">
            <v>67792.69</v>
          </cell>
          <cell r="C22">
            <v>75328.639999999999</v>
          </cell>
          <cell r="D22">
            <v>76779.64</v>
          </cell>
          <cell r="E22">
            <v>81686.080000000002</v>
          </cell>
          <cell r="F22">
            <v>88007.87</v>
          </cell>
          <cell r="G22">
            <v>73553.42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463148.34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reté et Nettoyage"/>
    </sheetNames>
    <sheetDataSet>
      <sheetData sheetId="0">
        <row r="10">
          <cell r="B10">
            <v>700</v>
          </cell>
          <cell r="C10">
            <v>0</v>
          </cell>
          <cell r="D10">
            <v>0</v>
          </cell>
          <cell r="E10">
            <v>0</v>
          </cell>
          <cell r="F10">
            <v>5517</v>
          </cell>
          <cell r="G10">
            <v>836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7053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itement des nuisibles"/>
    </sheetNames>
    <sheetDataSet>
      <sheetData sheetId="0">
        <row r="15">
          <cell r="B15">
            <v>0</v>
          </cell>
          <cell r="C15">
            <v>0</v>
          </cell>
          <cell r="D15">
            <v>50</v>
          </cell>
          <cell r="E15">
            <v>4780</v>
          </cell>
          <cell r="F15">
            <v>6000</v>
          </cell>
          <cell r="G15">
            <v>85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is d'entretien"/>
    </sheetNames>
    <sheetDataSet>
      <sheetData sheetId="0">
        <row r="46">
          <cell r="B46">
            <v>1618.4299999999998</v>
          </cell>
          <cell r="C46">
            <v>2654.9</v>
          </cell>
          <cell r="D46">
            <v>3464.74</v>
          </cell>
          <cell r="E46">
            <v>8404.380000000001</v>
          </cell>
          <cell r="F46">
            <v>3914.67</v>
          </cell>
          <cell r="G46">
            <v>36798.730000000003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56855.85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imation"/>
    </sheetNames>
    <sheetDataSet>
      <sheetData sheetId="0"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99000</v>
          </cell>
          <cell r="G29">
            <v>7116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106116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penses Diverses"/>
    </sheetNames>
    <sheetDataSet>
      <sheetData sheetId="0">
        <row r="29">
          <cell r="B29">
            <v>1321</v>
          </cell>
          <cell r="C29">
            <v>1184.55</v>
          </cell>
          <cell r="D29">
            <v>1091.5</v>
          </cell>
          <cell r="E29">
            <v>1366.05</v>
          </cell>
          <cell r="F29">
            <v>1280.79</v>
          </cell>
          <cell r="G29">
            <v>1281.2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7525.09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cap Inv"/>
      <sheetName val="Détails"/>
      <sheetName val="Club du hameau"/>
      <sheetName val="Eclairage des voies publiques"/>
      <sheetName val="Rénov ponts"/>
      <sheetName val="Fontaine"/>
      <sheetName val="Rénov passages"/>
      <sheetName val="Matériels et outillage "/>
      <sheetName val="Equip pour le personnel"/>
      <sheetName val="Rénov parking"/>
      <sheetName val="Jardin du lac"/>
      <sheetName val="Rénovations des trottoirs"/>
      <sheetName val="Canal paysager"/>
      <sheetName val="Matériels de sécurité et vidéos"/>
      <sheetName val="Mobilier urbain"/>
      <sheetName val="Divers aménag&amp;Equip"/>
      <sheetName val="Mur de cloture"/>
      <sheetName val="Aménagement des nouveaux jardin"/>
      <sheetName val="Matériels de mobilité et transp"/>
      <sheetName val="Feuil1"/>
    </sheetNames>
    <sheetDataSet>
      <sheetData sheetId="0">
        <row r="24">
          <cell r="I24">
            <v>256683.25</v>
          </cell>
        </row>
      </sheetData>
      <sheetData sheetId="1"/>
      <sheetData sheetId="2">
        <row r="26">
          <cell r="B26">
            <v>0</v>
          </cell>
          <cell r="C26">
            <v>0</v>
          </cell>
          <cell r="D26">
            <v>11900</v>
          </cell>
          <cell r="E26">
            <v>12500</v>
          </cell>
          <cell r="F26">
            <v>18327</v>
          </cell>
          <cell r="G26">
            <v>24986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67713</v>
          </cell>
        </row>
      </sheetData>
      <sheetData sheetId="3">
        <row r="22">
          <cell r="B22">
            <v>0</v>
          </cell>
          <cell r="C22">
            <v>11622.5</v>
          </cell>
          <cell r="D22">
            <v>1200</v>
          </cell>
          <cell r="E22">
            <v>1380</v>
          </cell>
          <cell r="F22">
            <v>1728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15930.5</v>
          </cell>
        </row>
      </sheetData>
      <sheetData sheetId="4">
        <row r="26">
          <cell r="B26">
            <v>0</v>
          </cell>
          <cell r="C26">
            <v>0</v>
          </cell>
          <cell r="D26">
            <v>1925</v>
          </cell>
          <cell r="E26">
            <v>1925</v>
          </cell>
          <cell r="F26">
            <v>0</v>
          </cell>
          <cell r="G26">
            <v>470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4320</v>
          </cell>
        </row>
      </sheetData>
      <sheetData sheetId="5"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3216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3216</v>
          </cell>
        </row>
      </sheetData>
      <sheetData sheetId="6"/>
      <sheetData sheetId="7"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3075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3075</v>
          </cell>
        </row>
      </sheetData>
      <sheetData sheetId="8">
        <row r="18">
          <cell r="B18">
            <v>1400</v>
          </cell>
          <cell r="C18">
            <v>540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1940</v>
          </cell>
        </row>
      </sheetData>
      <sheetData sheetId="9"/>
      <sheetData sheetId="10"/>
      <sheetData sheetId="11"/>
      <sheetData sheetId="12"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2255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2255</v>
          </cell>
        </row>
      </sheetData>
      <sheetData sheetId="13">
        <row r="31">
          <cell r="B31">
            <v>0</v>
          </cell>
          <cell r="C31">
            <v>5000</v>
          </cell>
          <cell r="D31">
            <v>15900</v>
          </cell>
          <cell r="E31">
            <v>35764</v>
          </cell>
          <cell r="F31">
            <v>28845</v>
          </cell>
          <cell r="G31">
            <v>36157.5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121666.5</v>
          </cell>
        </row>
      </sheetData>
      <sheetData sheetId="14"/>
      <sheetData sheetId="15"/>
      <sheetData sheetId="16">
        <row r="25">
          <cell r="B25">
            <v>1270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1270</v>
          </cell>
        </row>
      </sheetData>
      <sheetData sheetId="17">
        <row r="84">
          <cell r="B84">
            <v>8188.2</v>
          </cell>
          <cell r="C84">
            <v>2441.6</v>
          </cell>
          <cell r="D84">
            <v>13217</v>
          </cell>
          <cell r="E84">
            <v>10550.45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34397.25</v>
          </cell>
        </row>
      </sheetData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tail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FB45E-2076-4719-B901-FD4496E40D0D}">
  <dimension ref="A3:T28"/>
  <sheetViews>
    <sheetView tabSelected="1" topLeftCell="A7" zoomScale="70" zoomScaleNormal="70" workbookViewId="0">
      <selection activeCell="C16" sqref="C16:H16"/>
    </sheetView>
  </sheetViews>
  <sheetFormatPr baseColWidth="10" defaultRowHeight="14.4" x14ac:dyDescent="0.3"/>
  <cols>
    <col min="1" max="1" width="37.44140625" customWidth="1"/>
    <col min="2" max="2" width="19.5546875" style="1" customWidth="1"/>
    <col min="3" max="14" width="15.109375" customWidth="1"/>
    <col min="15" max="15" width="15.88671875" bestFit="1" customWidth="1"/>
    <col min="16" max="16" width="16" bestFit="1" customWidth="1"/>
    <col min="17" max="17" width="13.5546875" style="1" customWidth="1"/>
    <col min="18" max="18" width="12.44140625" bestFit="1" customWidth="1"/>
  </cols>
  <sheetData>
    <row r="3" spans="1:20" ht="18" x14ac:dyDescent="0.35">
      <c r="A3" s="58" t="s">
        <v>47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spans="1:20" ht="18" x14ac:dyDescent="0.3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6" spans="1:20" s="39" customFormat="1" ht="16.2" thickBot="1" x14ac:dyDescent="0.35">
      <c r="B6" s="40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5"/>
      <c r="Q6" s="40"/>
      <c r="R6" s="41"/>
    </row>
    <row r="7" spans="1:20" s="2" customFormat="1" ht="48" customHeight="1" thickBot="1" x14ac:dyDescent="0.35">
      <c r="A7" s="4" t="s">
        <v>0</v>
      </c>
      <c r="B7" s="5" t="s">
        <v>48</v>
      </c>
      <c r="C7" s="6" t="s">
        <v>14</v>
      </c>
      <c r="D7" s="6" t="s">
        <v>7</v>
      </c>
      <c r="E7" s="6" t="s">
        <v>8</v>
      </c>
      <c r="F7" s="6" t="s">
        <v>9</v>
      </c>
      <c r="G7" s="6" t="s">
        <v>10</v>
      </c>
      <c r="H7" s="6" t="s">
        <v>22</v>
      </c>
      <c r="I7" s="6" t="s">
        <v>15</v>
      </c>
      <c r="J7" s="6" t="s">
        <v>16</v>
      </c>
      <c r="K7" s="6" t="s">
        <v>17</v>
      </c>
      <c r="L7" s="6" t="s">
        <v>18</v>
      </c>
      <c r="M7" s="6" t="s">
        <v>19</v>
      </c>
      <c r="N7" s="6" t="s">
        <v>20</v>
      </c>
      <c r="O7" s="6" t="s">
        <v>2</v>
      </c>
      <c r="P7" s="7" t="s">
        <v>1</v>
      </c>
      <c r="Q7" s="7" t="s">
        <v>3</v>
      </c>
      <c r="T7" s="15"/>
    </row>
    <row r="8" spans="1:20" ht="18" customHeight="1" x14ac:dyDescent="0.3">
      <c r="A8" s="9" t="s">
        <v>11</v>
      </c>
      <c r="B8" s="11">
        <v>980000</v>
      </c>
      <c r="C8" s="10">
        <f>'Suivi budget de fonctionnement'!C8</f>
        <v>67792.69</v>
      </c>
      <c r="D8" s="10">
        <f>'Suivi budget de fonctionnement'!D8</f>
        <v>75328.639999999999</v>
      </c>
      <c r="E8" s="10">
        <f>'Suivi budget de fonctionnement'!E8</f>
        <v>76779.64</v>
      </c>
      <c r="F8" s="10">
        <f>'Suivi budget de fonctionnement'!F8</f>
        <v>81686.080000000002</v>
      </c>
      <c r="G8" s="10">
        <f>'Suivi budget de fonctionnement'!G8</f>
        <v>88007.87</v>
      </c>
      <c r="H8" s="10">
        <f>'Suivi budget de fonctionnement'!H8</f>
        <v>73553.42</v>
      </c>
      <c r="I8" s="10">
        <f>'Suivi budget de fonctionnement'!I8</f>
        <v>0</v>
      </c>
      <c r="J8" s="10">
        <f>'Suivi budget de fonctionnement'!J8</f>
        <v>0</v>
      </c>
      <c r="K8" s="10">
        <f>'Suivi budget de fonctionnement'!K8</f>
        <v>0</v>
      </c>
      <c r="L8" s="10">
        <f>'Suivi budget de fonctionnement'!L8</f>
        <v>0</v>
      </c>
      <c r="M8" s="10">
        <f>'Suivi budget de fonctionnement'!M8</f>
        <v>0</v>
      </c>
      <c r="N8" s="10">
        <f>'Suivi budget de fonctionnement'!N8</f>
        <v>0</v>
      </c>
      <c r="O8" s="10">
        <f>'Suivi budget de fonctionnement'!O8</f>
        <v>463148.34</v>
      </c>
      <c r="P8" s="9">
        <f>B8-O8</f>
        <v>516851.66</v>
      </c>
      <c r="Q8" s="13">
        <f>O8/B8%</f>
        <v>47.26003469387755</v>
      </c>
      <c r="R8" s="1"/>
    </row>
    <row r="9" spans="1:20" ht="15.6" x14ac:dyDescent="0.3">
      <c r="A9" s="11" t="s">
        <v>12</v>
      </c>
      <c r="B9" s="11">
        <v>30000</v>
      </c>
      <c r="C9" s="3">
        <f>'Suivi budget de fonctionnement'!C9</f>
        <v>700</v>
      </c>
      <c r="D9" s="3">
        <f>'Suivi budget de fonctionnement'!D9</f>
        <v>0</v>
      </c>
      <c r="E9" s="3">
        <f>'Suivi budget de fonctionnement'!E9</f>
        <v>0</v>
      </c>
      <c r="F9" s="3">
        <f>'Suivi budget de fonctionnement'!F9</f>
        <v>0</v>
      </c>
      <c r="G9" s="3">
        <f>'Suivi budget de fonctionnement'!G9</f>
        <v>5517</v>
      </c>
      <c r="H9" s="3">
        <f>'Suivi budget de fonctionnement'!H9</f>
        <v>836</v>
      </c>
      <c r="I9" s="3">
        <f>'Suivi budget de fonctionnement'!I9</f>
        <v>0</v>
      </c>
      <c r="J9" s="3">
        <f>'Suivi budget de fonctionnement'!J9</f>
        <v>0</v>
      </c>
      <c r="K9" s="3">
        <f>'Suivi budget de fonctionnement'!K9</f>
        <v>0</v>
      </c>
      <c r="L9" s="3">
        <f>'Suivi budget de fonctionnement'!L9</f>
        <v>0</v>
      </c>
      <c r="M9" s="3">
        <f>'Suivi budget de fonctionnement'!M9</f>
        <v>0</v>
      </c>
      <c r="N9" s="3">
        <f>'Suivi budget de fonctionnement'!N9</f>
        <v>0</v>
      </c>
      <c r="O9" s="11">
        <f>SUM(C9:N9)</f>
        <v>7053</v>
      </c>
      <c r="P9" s="11">
        <f t="shared" ref="P9:P15" si="0">B9-O9</f>
        <v>22947</v>
      </c>
      <c r="Q9" s="14">
        <f t="shared" ref="Q9:Q15" si="1">O9/B9%</f>
        <v>23.51</v>
      </c>
      <c r="R9" s="1"/>
      <c r="S9" s="1"/>
    </row>
    <row r="10" spans="1:20" ht="15.6" x14ac:dyDescent="0.3">
      <c r="A10" s="11" t="s">
        <v>41</v>
      </c>
      <c r="B10" s="11">
        <v>170000</v>
      </c>
      <c r="C10" s="3">
        <f>'Suivi budget de fonctionnement'!C10</f>
        <v>7858.97</v>
      </c>
      <c r="D10" s="3">
        <f>'Suivi budget de fonctionnement'!D10</f>
        <v>254</v>
      </c>
      <c r="E10" s="3">
        <f>'Suivi budget de fonctionnement'!E10</f>
        <v>1106</v>
      </c>
      <c r="F10" s="3">
        <f>'Suivi budget de fonctionnement'!F10</f>
        <v>490</v>
      </c>
      <c r="G10" s="3">
        <f>'Suivi budget de fonctionnement'!G10</f>
        <v>14585</v>
      </c>
      <c r="H10" s="3">
        <f>'Suivi budget de fonctionnement'!H10</f>
        <v>7830.18</v>
      </c>
      <c r="I10" s="3">
        <f>'Suivi budget de fonctionnement'!I10</f>
        <v>0</v>
      </c>
      <c r="J10" s="3">
        <f>'Suivi budget de fonctionnement'!J10</f>
        <v>0</v>
      </c>
      <c r="K10" s="3">
        <f>'Suivi budget de fonctionnement'!K10</f>
        <v>0</v>
      </c>
      <c r="L10" s="3">
        <f>'Suivi budget de fonctionnement'!L10</f>
        <v>0</v>
      </c>
      <c r="M10" s="3">
        <f>'Suivi budget de fonctionnement'!M10</f>
        <v>0</v>
      </c>
      <c r="N10" s="3">
        <f>'Suivi budget de fonctionnement'!N10</f>
        <v>0</v>
      </c>
      <c r="O10" s="11">
        <f>SUM(C10:N10)</f>
        <v>32124.15</v>
      </c>
      <c r="P10" s="11">
        <f t="shared" si="0"/>
        <v>137875.85</v>
      </c>
      <c r="Q10" s="14">
        <f t="shared" si="1"/>
        <v>18.896558823529414</v>
      </c>
      <c r="R10" s="1"/>
    </row>
    <row r="11" spans="1:20" ht="15.6" x14ac:dyDescent="0.3">
      <c r="A11" s="11" t="s">
        <v>4</v>
      </c>
      <c r="B11" s="11">
        <v>50000</v>
      </c>
      <c r="C11" s="3">
        <f>'Suivi budget de fonctionnement'!C11</f>
        <v>0</v>
      </c>
      <c r="D11" s="3">
        <f>'Suivi budget de fonctionnement'!D11</f>
        <v>0</v>
      </c>
      <c r="E11" s="3">
        <f>'Suivi budget de fonctionnement'!E11</f>
        <v>50</v>
      </c>
      <c r="F11" s="3">
        <f>'Suivi budget de fonctionnement'!F11</f>
        <v>4780</v>
      </c>
      <c r="G11" s="3">
        <f>'Suivi budget de fonctionnement'!G11</f>
        <v>6000</v>
      </c>
      <c r="H11" s="3">
        <f>'Suivi budget de fonctionnement'!H11</f>
        <v>85</v>
      </c>
      <c r="I11" s="3">
        <f>'Suivi budget de fonctionnement'!I11</f>
        <v>0</v>
      </c>
      <c r="J11" s="3">
        <f>'Suivi budget de fonctionnement'!J11</f>
        <v>0</v>
      </c>
      <c r="K11" s="3">
        <f>'Suivi budget de fonctionnement'!K11</f>
        <v>0</v>
      </c>
      <c r="L11" s="3">
        <f>'Suivi budget de fonctionnement'!L11</f>
        <v>0</v>
      </c>
      <c r="M11" s="3">
        <f>'Suivi budget de fonctionnement'!M11</f>
        <v>0</v>
      </c>
      <c r="N11" s="3">
        <f>'Suivi budget de fonctionnement'!N11</f>
        <v>0</v>
      </c>
      <c r="O11" s="11">
        <f>SUM(C11:N11)</f>
        <v>10915</v>
      </c>
      <c r="P11" s="11">
        <f t="shared" si="0"/>
        <v>39085</v>
      </c>
      <c r="Q11" s="14">
        <f t="shared" si="1"/>
        <v>21.83</v>
      </c>
      <c r="R11" s="1"/>
    </row>
    <row r="12" spans="1:20" ht="15.6" x14ac:dyDescent="0.3">
      <c r="A12" s="11" t="s">
        <v>40</v>
      </c>
      <c r="B12" s="11">
        <v>200000</v>
      </c>
      <c r="C12" s="3">
        <f>'Suivi budget de fonctionnement'!C12</f>
        <v>1618.4299999999998</v>
      </c>
      <c r="D12" s="3">
        <f>'Suivi budget de fonctionnement'!D12</f>
        <v>2654.9</v>
      </c>
      <c r="E12" s="3">
        <f>'Suivi budget de fonctionnement'!E12</f>
        <v>3464.74</v>
      </c>
      <c r="F12" s="3">
        <f>'Suivi budget de fonctionnement'!F12</f>
        <v>8404.380000000001</v>
      </c>
      <c r="G12" s="3">
        <f>'Suivi budget de fonctionnement'!G12</f>
        <v>3914.67</v>
      </c>
      <c r="H12" s="3">
        <f>'Suivi budget de fonctionnement'!H12</f>
        <v>36798.730000000003</v>
      </c>
      <c r="I12" s="3">
        <f>'Suivi budget de fonctionnement'!I12</f>
        <v>0</v>
      </c>
      <c r="J12" s="3">
        <f>'Suivi budget de fonctionnement'!J12</f>
        <v>0</v>
      </c>
      <c r="K12" s="3">
        <f>'Suivi budget de fonctionnement'!K12</f>
        <v>0</v>
      </c>
      <c r="L12" s="3">
        <f>'Suivi budget de fonctionnement'!L12</f>
        <v>0</v>
      </c>
      <c r="M12" s="3">
        <f>'Suivi budget de fonctionnement'!M12</f>
        <v>0</v>
      </c>
      <c r="N12" s="3">
        <f>'Suivi budget de fonctionnement'!N12</f>
        <v>0</v>
      </c>
      <c r="O12" s="11">
        <f t="shared" ref="O12:O13" si="2">SUM(C12:N12)</f>
        <v>56855.850000000006</v>
      </c>
      <c r="P12" s="11">
        <f t="shared" si="0"/>
        <v>143144.15</v>
      </c>
      <c r="Q12" s="14">
        <f t="shared" si="1"/>
        <v>28.427925000000002</v>
      </c>
      <c r="R12" s="1"/>
    </row>
    <row r="13" spans="1:20" ht="15.6" x14ac:dyDescent="0.3">
      <c r="A13" s="11" t="s">
        <v>5</v>
      </c>
      <c r="B13" s="11">
        <v>234000</v>
      </c>
      <c r="C13" s="3">
        <f>'Suivi budget de fonctionnement'!C13</f>
        <v>0</v>
      </c>
      <c r="D13" s="3">
        <f>'Suivi budget de fonctionnement'!D13</f>
        <v>0</v>
      </c>
      <c r="E13" s="3">
        <f>'Suivi budget de fonctionnement'!E13</f>
        <v>0</v>
      </c>
      <c r="F13" s="3">
        <f>'Suivi budget de fonctionnement'!F13</f>
        <v>0</v>
      </c>
      <c r="G13" s="3">
        <f>'Suivi budget de fonctionnement'!G13</f>
        <v>99000</v>
      </c>
      <c r="H13" s="3">
        <f>'Suivi budget de fonctionnement'!H13</f>
        <v>7116</v>
      </c>
      <c r="I13" s="3">
        <f>'Suivi budget de fonctionnement'!I13</f>
        <v>0</v>
      </c>
      <c r="J13" s="3">
        <f>'Suivi budget de fonctionnement'!J13</f>
        <v>0</v>
      </c>
      <c r="K13" s="3">
        <f>'Suivi budget de fonctionnement'!K13</f>
        <v>0</v>
      </c>
      <c r="L13" s="3">
        <f>'Suivi budget de fonctionnement'!L13</f>
        <v>0</v>
      </c>
      <c r="M13" s="3">
        <f>'Suivi budget de fonctionnement'!M13</f>
        <v>0</v>
      </c>
      <c r="N13" s="3">
        <f>'Suivi budget de fonctionnement'!N13</f>
        <v>0</v>
      </c>
      <c r="O13" s="11">
        <f t="shared" si="2"/>
        <v>106116</v>
      </c>
      <c r="P13" s="11">
        <f t="shared" si="0"/>
        <v>127884</v>
      </c>
      <c r="Q13" s="14">
        <f t="shared" si="1"/>
        <v>45.348717948717947</v>
      </c>
      <c r="R13" s="1"/>
    </row>
    <row r="14" spans="1:20" ht="16.2" thickBot="1" x14ac:dyDescent="0.35">
      <c r="A14" s="11" t="s">
        <v>6</v>
      </c>
      <c r="B14" s="12">
        <v>53500</v>
      </c>
      <c r="C14" s="3">
        <f>'Suivi budget de fonctionnement'!C14</f>
        <v>1321</v>
      </c>
      <c r="D14" s="3">
        <f>'Suivi budget de fonctionnement'!D14</f>
        <v>1184.55</v>
      </c>
      <c r="E14" s="3">
        <f>'Suivi budget de fonctionnement'!E14</f>
        <v>1091.5</v>
      </c>
      <c r="F14" s="3">
        <f>'Suivi budget de fonctionnement'!F14</f>
        <v>1366.05</v>
      </c>
      <c r="G14" s="3">
        <f>'Suivi budget de fonctionnement'!G14</f>
        <v>1280.79</v>
      </c>
      <c r="H14" s="3">
        <f>'Suivi budget de fonctionnement'!H14</f>
        <v>1281.2</v>
      </c>
      <c r="I14" s="3">
        <f>'Suivi budget de fonctionnement'!I14</f>
        <v>0</v>
      </c>
      <c r="J14" s="3">
        <f>'Suivi budget de fonctionnement'!J14</f>
        <v>0</v>
      </c>
      <c r="K14" s="3">
        <f>'Suivi budget de fonctionnement'!K14</f>
        <v>0</v>
      </c>
      <c r="L14" s="3">
        <f>'Suivi budget de fonctionnement'!L14</f>
        <v>0</v>
      </c>
      <c r="M14" s="3">
        <f>'Suivi budget de fonctionnement'!M14</f>
        <v>0</v>
      </c>
      <c r="N14" s="3">
        <f>'Suivi budget de fonctionnement'!N14</f>
        <v>0</v>
      </c>
      <c r="O14" s="11">
        <f>SUM(C14:N14)</f>
        <v>7525.09</v>
      </c>
      <c r="P14" s="11">
        <f t="shared" si="0"/>
        <v>45974.91</v>
      </c>
      <c r="Q14" s="14">
        <f t="shared" si="1"/>
        <v>14.06558878504673</v>
      </c>
      <c r="R14" s="1"/>
    </row>
    <row r="15" spans="1:20" ht="16.2" thickBot="1" x14ac:dyDescent="0.35">
      <c r="A15" s="12" t="s">
        <v>42</v>
      </c>
      <c r="B15" s="12">
        <v>450000</v>
      </c>
      <c r="C15" s="36">
        <f>'Suivi budget d''investissement'!C23</f>
        <v>10858.2</v>
      </c>
      <c r="D15" s="36">
        <f>'Suivi budget d''investissement'!D23</f>
        <v>20504.099999999999</v>
      </c>
      <c r="E15" s="36">
        <f>'Suivi budget d''investissement'!E23</f>
        <v>44142</v>
      </c>
      <c r="F15" s="36">
        <f>'Suivi budget d''investissement'!F23</f>
        <v>62119.45</v>
      </c>
      <c r="G15" s="36">
        <f>'Suivi budget d''investissement'!G23</f>
        <v>48900</v>
      </c>
      <c r="H15" s="36">
        <f>'Suivi budget d''investissement'!H23</f>
        <v>70159.5</v>
      </c>
      <c r="I15" s="36">
        <f>'Suivi budget d''investissement'!I23</f>
        <v>0</v>
      </c>
      <c r="J15" s="36">
        <f>'Suivi budget d''investissement'!J23</f>
        <v>0</v>
      </c>
      <c r="K15" s="36">
        <f>'Suivi budget d''investissement'!K23</f>
        <v>0</v>
      </c>
      <c r="L15" s="36">
        <f>'Suivi budget d''investissement'!L23</f>
        <v>0</v>
      </c>
      <c r="M15" s="36">
        <f>'Suivi budget d''investissement'!M23</f>
        <v>0</v>
      </c>
      <c r="N15" s="36">
        <f>'Suivi budget d''investissement'!N23</f>
        <v>0</v>
      </c>
      <c r="O15" s="12">
        <f>SUM(C15:N15)</f>
        <v>256683.25</v>
      </c>
      <c r="P15" s="12">
        <f t="shared" si="0"/>
        <v>193316.75</v>
      </c>
      <c r="Q15" s="37">
        <f t="shared" si="1"/>
        <v>57.040722222222222</v>
      </c>
      <c r="R15" s="1"/>
    </row>
    <row r="16" spans="1:20" ht="27" customHeight="1" thickBot="1" x14ac:dyDescent="0.4">
      <c r="A16" s="8"/>
      <c r="B16" s="35">
        <f>SUM(B8:B15)</f>
        <v>2167500</v>
      </c>
      <c r="C16" s="35">
        <f>SUM(C8:C15)</f>
        <v>90149.29</v>
      </c>
      <c r="D16" s="35">
        <f>SUM(D8:D15)</f>
        <v>99926.19</v>
      </c>
      <c r="E16" s="35">
        <f>SUM(E8:E15)</f>
        <v>126633.88</v>
      </c>
      <c r="F16" s="35">
        <f>SUM(F8:F15)</f>
        <v>158845.96000000002</v>
      </c>
      <c r="G16" s="35">
        <f>SUM(G8:G15)</f>
        <v>267205.32999999996</v>
      </c>
      <c r="H16" s="35">
        <f>SUM(H8:H15)</f>
        <v>197660.03000000003</v>
      </c>
      <c r="I16" s="35">
        <f>SUM(I8:I15)</f>
        <v>0</v>
      </c>
      <c r="J16" s="35">
        <f>SUM(J8:J15)</f>
        <v>0</v>
      </c>
      <c r="K16" s="35">
        <f>SUM(K8:K15)</f>
        <v>0</v>
      </c>
      <c r="L16" s="35">
        <f>SUM(L8:L15)</f>
        <v>0</v>
      </c>
      <c r="M16" s="35">
        <f>SUM(M8:M15)</f>
        <v>0</v>
      </c>
      <c r="N16" s="35">
        <f>SUM(N8:N15)</f>
        <v>0</v>
      </c>
      <c r="O16" s="35">
        <f>SUM(O8:O15)</f>
        <v>940420.68</v>
      </c>
      <c r="P16" s="35">
        <f>SUM(P8:P15)</f>
        <v>1227079.3199999998</v>
      </c>
      <c r="Q16" s="57">
        <f>O16/B16</f>
        <v>0.4338734394463668</v>
      </c>
    </row>
    <row r="17" spans="3:17" x14ac:dyDescent="0.3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3:17" x14ac:dyDescent="0.3">
      <c r="F18" s="1"/>
    </row>
    <row r="19" spans="3:17" x14ac:dyDescent="0.3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3:17" x14ac:dyDescent="0.3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3:17" x14ac:dyDescent="0.3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9"/>
      <c r="O21" s="1"/>
      <c r="Q21"/>
    </row>
    <row r="22" spans="3:17" x14ac:dyDescent="0.3">
      <c r="C22" s="1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"/>
      <c r="Q22"/>
    </row>
    <row r="23" spans="3:17" x14ac:dyDescent="0.3">
      <c r="C23" s="1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"/>
      <c r="Q23"/>
    </row>
    <row r="24" spans="3:17" x14ac:dyDescent="0.3">
      <c r="C24" s="1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"/>
      <c r="Q24"/>
    </row>
    <row r="25" spans="3:17" x14ac:dyDescent="0.3">
      <c r="C25" s="1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3:17" x14ac:dyDescent="0.3">
      <c r="C26" s="1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  <row r="27" spans="3:17" x14ac:dyDescent="0.3"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</row>
    <row r="28" spans="3:17" x14ac:dyDescent="0.3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</row>
  </sheetData>
  <mergeCells count="2">
    <mergeCell ref="A3:Q3"/>
    <mergeCell ref="A4:Q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T27"/>
  <sheetViews>
    <sheetView topLeftCell="C1" zoomScale="55" zoomScaleNormal="55" workbookViewId="0">
      <selection activeCell="R8" sqref="R8"/>
    </sheetView>
  </sheetViews>
  <sheetFormatPr baseColWidth="10" defaultRowHeight="14.4" x14ac:dyDescent="0.3"/>
  <cols>
    <col min="1" max="1" width="37.44140625" customWidth="1"/>
    <col min="2" max="2" width="19.5546875" style="1" customWidth="1"/>
    <col min="3" max="14" width="15.109375" customWidth="1"/>
    <col min="15" max="15" width="15.88671875" bestFit="1" customWidth="1"/>
    <col min="16" max="16" width="16" bestFit="1" customWidth="1"/>
    <col min="17" max="17" width="13.5546875" style="1" customWidth="1"/>
    <col min="18" max="18" width="12.44140625" bestFit="1" customWidth="1"/>
  </cols>
  <sheetData>
    <row r="3" spans="1:20" ht="18" x14ac:dyDescent="0.35">
      <c r="A3" s="58" t="s">
        <v>49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spans="1:20" ht="18" x14ac:dyDescent="0.3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6" spans="1:20" s="39" customFormat="1" ht="16.2" thickBot="1" x14ac:dyDescent="0.35">
      <c r="B6" s="40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Q6" s="40"/>
      <c r="R6" s="41"/>
    </row>
    <row r="7" spans="1:20" s="2" customFormat="1" ht="48" customHeight="1" thickBot="1" x14ac:dyDescent="0.35">
      <c r="A7" s="4" t="s">
        <v>0</v>
      </c>
      <c r="B7" s="42" t="s">
        <v>48</v>
      </c>
      <c r="C7" s="6" t="s">
        <v>14</v>
      </c>
      <c r="D7" s="6" t="s">
        <v>7</v>
      </c>
      <c r="E7" s="46" t="s">
        <v>8</v>
      </c>
      <c r="F7" s="6" t="s">
        <v>9</v>
      </c>
      <c r="G7" s="6" t="s">
        <v>10</v>
      </c>
      <c r="H7" s="6" t="s">
        <v>22</v>
      </c>
      <c r="I7" s="6" t="s">
        <v>15</v>
      </c>
      <c r="J7" s="6" t="s">
        <v>16</v>
      </c>
      <c r="K7" s="6" t="s">
        <v>17</v>
      </c>
      <c r="L7" s="6" t="s">
        <v>18</v>
      </c>
      <c r="M7" s="6" t="s">
        <v>19</v>
      </c>
      <c r="N7" s="6" t="s">
        <v>20</v>
      </c>
      <c r="O7" s="43" t="s">
        <v>2</v>
      </c>
      <c r="P7" s="7" t="s">
        <v>1</v>
      </c>
      <c r="Q7" s="7" t="s">
        <v>3</v>
      </c>
      <c r="T7" s="15"/>
    </row>
    <row r="8" spans="1:20" ht="18" customHeight="1" x14ac:dyDescent="0.3">
      <c r="A8" s="9" t="s">
        <v>11</v>
      </c>
      <c r="B8" s="11">
        <v>980000</v>
      </c>
      <c r="C8" s="10">
        <f>[1]Récap!B$22</f>
        <v>67792.69</v>
      </c>
      <c r="D8" s="10">
        <f>[1]Récap!C$22</f>
        <v>75328.639999999999</v>
      </c>
      <c r="E8" s="10">
        <f>[1]Récap!D$22</f>
        <v>76779.64</v>
      </c>
      <c r="F8" s="10">
        <f>[1]Récap!E$22</f>
        <v>81686.080000000002</v>
      </c>
      <c r="G8" s="10">
        <f>[1]Récap!F$22</f>
        <v>88007.87</v>
      </c>
      <c r="H8" s="10">
        <f>[1]Récap!G$22</f>
        <v>73553.42</v>
      </c>
      <c r="I8" s="10">
        <f>[1]Récap!H$22</f>
        <v>0</v>
      </c>
      <c r="J8" s="10">
        <f>[1]Récap!I$22</f>
        <v>0</v>
      </c>
      <c r="K8" s="10">
        <f>[1]Récap!J$22</f>
        <v>0</v>
      </c>
      <c r="L8" s="10">
        <f>[1]Récap!K$22</f>
        <v>0</v>
      </c>
      <c r="M8" s="10">
        <f>[1]Récap!L$22</f>
        <v>0</v>
      </c>
      <c r="N8" s="10">
        <f>[1]Récap!M$22</f>
        <v>0</v>
      </c>
      <c r="O8" s="9">
        <f>SUM(C8:N8)</f>
        <v>463148.34</v>
      </c>
      <c r="P8" s="9">
        <f>B8-O8</f>
        <v>516851.66</v>
      </c>
      <c r="Q8" s="13">
        <f>O8/B8%</f>
        <v>47.26003469387755</v>
      </c>
      <c r="R8" s="1">
        <f>O8-[1]Récap!$N$22</f>
        <v>0</v>
      </c>
    </row>
    <row r="9" spans="1:20" ht="15.6" x14ac:dyDescent="0.3">
      <c r="A9" s="11" t="s">
        <v>12</v>
      </c>
      <c r="B9" s="11">
        <v>30000</v>
      </c>
      <c r="C9" s="3">
        <f>'[2]Propreté et Nettoyage'!B$10</f>
        <v>700</v>
      </c>
      <c r="D9" s="3">
        <f>'[2]Propreté et Nettoyage'!C$10</f>
        <v>0</v>
      </c>
      <c r="E9" s="3">
        <f>'[2]Propreté et Nettoyage'!D$10</f>
        <v>0</v>
      </c>
      <c r="F9" s="3">
        <f>'[2]Propreté et Nettoyage'!E$10</f>
        <v>0</v>
      </c>
      <c r="G9" s="3">
        <f>'[2]Propreté et Nettoyage'!F$10</f>
        <v>5517</v>
      </c>
      <c r="H9" s="3">
        <f>'[2]Propreté et Nettoyage'!G$10</f>
        <v>836</v>
      </c>
      <c r="I9" s="3">
        <f>'[2]Propreté et Nettoyage'!H$10</f>
        <v>0</v>
      </c>
      <c r="J9" s="3">
        <f>'[2]Propreté et Nettoyage'!I$10</f>
        <v>0</v>
      </c>
      <c r="K9" s="3">
        <f>'[2]Propreté et Nettoyage'!J$10</f>
        <v>0</v>
      </c>
      <c r="L9" s="3">
        <f>'[2]Propreté et Nettoyage'!K$10</f>
        <v>0</v>
      </c>
      <c r="M9" s="3">
        <f>'[2]Propreté et Nettoyage'!L$10</f>
        <v>0</v>
      </c>
      <c r="N9" s="3">
        <f>'[2]Propreté et Nettoyage'!M$10</f>
        <v>0</v>
      </c>
      <c r="O9" s="11">
        <f>SUM(C9:N9)</f>
        <v>7053</v>
      </c>
      <c r="P9" s="11">
        <f t="shared" ref="P9:P14" si="0">B9-O9</f>
        <v>22947</v>
      </c>
      <c r="Q9" s="14">
        <f t="shared" ref="Q9:Q14" si="1">O9/B9%</f>
        <v>23.51</v>
      </c>
      <c r="R9" s="1">
        <f>O9-'[2]Propreté et Nettoyage'!$N$10</f>
        <v>0</v>
      </c>
      <c r="S9" s="1"/>
    </row>
    <row r="10" spans="1:20" ht="15.6" x14ac:dyDescent="0.3">
      <c r="A10" s="11" t="s">
        <v>43</v>
      </c>
      <c r="B10" s="11">
        <v>170000</v>
      </c>
      <c r="C10" s="3">
        <f>[8]!EVC_3[[#Totals],[Janvier]]</f>
        <v>7858.97</v>
      </c>
      <c r="D10" s="3">
        <f>[8]!EVC_3[[#Totals],[Février]]</f>
        <v>254</v>
      </c>
      <c r="E10" s="3">
        <f>[8]!EVC_3[[#Totals],[Mars]]</f>
        <v>1106</v>
      </c>
      <c r="F10" s="3">
        <f>[8]!EVC_3[[#Totals],[Avril]]</f>
        <v>490</v>
      </c>
      <c r="G10" s="3">
        <f>[8]!EVC_3[[#Totals],[Mai]]</f>
        <v>14585</v>
      </c>
      <c r="H10" s="3">
        <f>[8]!EVC_3[[#Totals],[Juin]]</f>
        <v>7830.18</v>
      </c>
      <c r="I10" s="3">
        <f>[8]!EVC_3[[#Totals],[Juillet]]</f>
        <v>0</v>
      </c>
      <c r="J10" s="3">
        <f>[8]!EVC_3[[#Totals],[Août]]</f>
        <v>0</v>
      </c>
      <c r="K10" s="3">
        <f>[8]!EVC_3[[#Totals],[Septembre]]</f>
        <v>0</v>
      </c>
      <c r="L10" s="3">
        <f>[8]!EVC_3[[#Totals],[Octobre]]</f>
        <v>0</v>
      </c>
      <c r="M10" s="3">
        <f>[8]!EVC_3[[#Totals],[Novembre]]</f>
        <v>0</v>
      </c>
      <c r="N10" s="3">
        <f>[8]!EVC_3[[#Totals],[Décembre]]</f>
        <v>0</v>
      </c>
      <c r="O10" s="11">
        <f>SUM(C10:N10)</f>
        <v>32124.15</v>
      </c>
      <c r="P10" s="11">
        <f t="shared" si="0"/>
        <v>137875.85</v>
      </c>
      <c r="Q10" s="14">
        <f t="shared" si="1"/>
        <v>18.896558823529414</v>
      </c>
      <c r="R10" s="1">
        <f>O10-[8]!EVC_3[[#Totals],[Total]]</f>
        <v>0</v>
      </c>
    </row>
    <row r="11" spans="1:20" ht="15.6" x14ac:dyDescent="0.3">
      <c r="A11" s="11" t="s">
        <v>4</v>
      </c>
      <c r="B11" s="11">
        <v>50000</v>
      </c>
      <c r="C11" s="3">
        <f>'[3]Traitement des nuisibles'!B$15</f>
        <v>0</v>
      </c>
      <c r="D11" s="3">
        <f>'[3]Traitement des nuisibles'!C$15</f>
        <v>0</v>
      </c>
      <c r="E11" s="3">
        <f>'[3]Traitement des nuisibles'!D$15</f>
        <v>50</v>
      </c>
      <c r="F11" s="3">
        <f>'[3]Traitement des nuisibles'!E$15</f>
        <v>4780</v>
      </c>
      <c r="G11" s="3">
        <f>'[3]Traitement des nuisibles'!F$15</f>
        <v>6000</v>
      </c>
      <c r="H11" s="3">
        <f>'[3]Traitement des nuisibles'!G$15</f>
        <v>85</v>
      </c>
      <c r="I11" s="3">
        <f>'[3]Traitement des nuisibles'!H$15</f>
        <v>0</v>
      </c>
      <c r="J11" s="3">
        <f>'[3]Traitement des nuisibles'!I$15</f>
        <v>0</v>
      </c>
      <c r="K11" s="3">
        <f>'[3]Traitement des nuisibles'!J$15</f>
        <v>0</v>
      </c>
      <c r="L11" s="3">
        <f>'[3]Traitement des nuisibles'!K$15</f>
        <v>0</v>
      </c>
      <c r="M11" s="3">
        <f>'[3]Traitement des nuisibles'!L$15</f>
        <v>0</v>
      </c>
      <c r="N11" s="3">
        <f>'[3]Traitement des nuisibles'!M$15</f>
        <v>0</v>
      </c>
      <c r="O11" s="11">
        <f>SUM(C11:N11)</f>
        <v>10915</v>
      </c>
      <c r="P11" s="11">
        <f t="shared" si="0"/>
        <v>39085</v>
      </c>
      <c r="Q11" s="14">
        <f t="shared" si="1"/>
        <v>21.83</v>
      </c>
      <c r="R11" s="1">
        <v>0</v>
      </c>
    </row>
    <row r="12" spans="1:20" ht="15.6" x14ac:dyDescent="0.3">
      <c r="A12" s="11" t="s">
        <v>40</v>
      </c>
      <c r="B12" s="11">
        <v>200000</v>
      </c>
      <c r="C12" s="52">
        <f>'[4]frais d''entretien'!B$46</f>
        <v>1618.4299999999998</v>
      </c>
      <c r="D12" s="52">
        <f>'[4]frais d''entretien'!C$46</f>
        <v>2654.9</v>
      </c>
      <c r="E12" s="52">
        <f>'[4]frais d''entretien'!D$46</f>
        <v>3464.74</v>
      </c>
      <c r="F12" s="52">
        <f>'[4]frais d''entretien'!E$46</f>
        <v>8404.380000000001</v>
      </c>
      <c r="G12" s="52">
        <f>'[4]frais d''entretien'!F$46</f>
        <v>3914.67</v>
      </c>
      <c r="H12" s="52">
        <f>'[4]frais d''entretien'!G$46</f>
        <v>36798.730000000003</v>
      </c>
      <c r="I12" s="52">
        <f>'[4]frais d''entretien'!H$46</f>
        <v>0</v>
      </c>
      <c r="J12" s="52">
        <f>'[4]frais d''entretien'!I$46</f>
        <v>0</v>
      </c>
      <c r="K12" s="52">
        <f>'[4]frais d''entretien'!J$46</f>
        <v>0</v>
      </c>
      <c r="L12" s="52">
        <f>'[4]frais d''entretien'!K$46</f>
        <v>0</v>
      </c>
      <c r="M12" s="52">
        <f>'[4]frais d''entretien'!L$46</f>
        <v>0</v>
      </c>
      <c r="N12" s="52">
        <f>'[4]frais d''entretien'!M$46</f>
        <v>0</v>
      </c>
      <c r="O12" s="53">
        <f t="shared" ref="O12" si="2">SUM(C12:N12)</f>
        <v>56855.850000000006</v>
      </c>
      <c r="P12" s="53">
        <f t="shared" si="0"/>
        <v>143144.15</v>
      </c>
      <c r="Q12" s="54">
        <f t="shared" si="1"/>
        <v>28.427925000000002</v>
      </c>
      <c r="R12" s="1">
        <f>O12-'[4]frais d''entretien'!$N$46</f>
        <v>0</v>
      </c>
    </row>
    <row r="13" spans="1:20" ht="15.6" x14ac:dyDescent="0.3">
      <c r="A13" s="11" t="s">
        <v>5</v>
      </c>
      <c r="B13" s="11">
        <v>234000</v>
      </c>
      <c r="C13" s="52">
        <f>[5]Animation!B$29</f>
        <v>0</v>
      </c>
      <c r="D13" s="52">
        <f>[5]Animation!C$29</f>
        <v>0</v>
      </c>
      <c r="E13" s="52">
        <f>[5]Animation!D$29</f>
        <v>0</v>
      </c>
      <c r="F13" s="52">
        <f>[5]Animation!E$29</f>
        <v>0</v>
      </c>
      <c r="G13" s="52">
        <f>[5]Animation!F$29</f>
        <v>99000</v>
      </c>
      <c r="H13" s="52">
        <f>[5]Animation!G$29</f>
        <v>7116</v>
      </c>
      <c r="I13" s="52">
        <f>[5]Animation!H$29</f>
        <v>0</v>
      </c>
      <c r="J13" s="52">
        <f>[5]Animation!I$29</f>
        <v>0</v>
      </c>
      <c r="K13" s="3">
        <f>[5]Animation!J$29</f>
        <v>0</v>
      </c>
      <c r="L13" s="3">
        <f>[5]Animation!K$29</f>
        <v>0</v>
      </c>
      <c r="M13" s="3">
        <f>[5]Animation!L$29</f>
        <v>0</v>
      </c>
      <c r="N13" s="3">
        <f>[5]Animation!M$29</f>
        <v>0</v>
      </c>
      <c r="O13" s="11">
        <f>SUM(C13:N13)</f>
        <v>106116</v>
      </c>
      <c r="P13" s="11">
        <f t="shared" si="0"/>
        <v>127884</v>
      </c>
      <c r="Q13" s="14">
        <f t="shared" si="1"/>
        <v>45.348717948717947</v>
      </c>
      <c r="R13" s="1">
        <f>O13-[5]Animation!$N$29</f>
        <v>0</v>
      </c>
    </row>
    <row r="14" spans="1:20" ht="16.2" thickBot="1" x14ac:dyDescent="0.35">
      <c r="A14" s="11" t="s">
        <v>6</v>
      </c>
      <c r="B14" s="11">
        <v>53500</v>
      </c>
      <c r="C14" s="52">
        <f>'[6]Dépenses Diverses'!B$29</f>
        <v>1321</v>
      </c>
      <c r="D14" s="52">
        <f>'[6]Dépenses Diverses'!C$29</f>
        <v>1184.55</v>
      </c>
      <c r="E14" s="52">
        <f>'[6]Dépenses Diverses'!D$29</f>
        <v>1091.5</v>
      </c>
      <c r="F14" s="52">
        <f>'[6]Dépenses Diverses'!E$29</f>
        <v>1366.05</v>
      </c>
      <c r="G14" s="52">
        <f>'[6]Dépenses Diverses'!F$29</f>
        <v>1280.79</v>
      </c>
      <c r="H14" s="52">
        <f>'[6]Dépenses Diverses'!G$29</f>
        <v>1281.2</v>
      </c>
      <c r="I14" s="52">
        <f>'[6]Dépenses Diverses'!H$29</f>
        <v>0</v>
      </c>
      <c r="J14" s="52">
        <f>'[6]Dépenses Diverses'!I$29</f>
        <v>0</v>
      </c>
      <c r="K14" s="52">
        <f>'[6]Dépenses Diverses'!J$29</f>
        <v>0</v>
      </c>
      <c r="L14" s="52">
        <f>'[6]Dépenses Diverses'!K$29</f>
        <v>0</v>
      </c>
      <c r="M14" s="52">
        <f>'[6]Dépenses Diverses'!L$29</f>
        <v>0</v>
      </c>
      <c r="N14" s="52">
        <f>'[6]Dépenses Diverses'!M$29</f>
        <v>0</v>
      </c>
      <c r="O14" s="53">
        <f>SUM(C14:N14)</f>
        <v>7525.09</v>
      </c>
      <c r="P14" s="53">
        <f t="shared" si="0"/>
        <v>45974.91</v>
      </c>
      <c r="Q14" s="54">
        <f t="shared" si="1"/>
        <v>14.06558878504673</v>
      </c>
      <c r="R14" s="1">
        <f>O14-'[6]Dépenses Diverses'!$N$29</f>
        <v>0</v>
      </c>
    </row>
    <row r="15" spans="1:20" ht="27" customHeight="1" thickBot="1" x14ac:dyDescent="0.35">
      <c r="A15" s="8"/>
      <c r="B15" s="56">
        <f>SUM(B8:B14)</f>
        <v>1717500</v>
      </c>
      <c r="C15" s="56">
        <f>SUM(C8:C14)</f>
        <v>79291.09</v>
      </c>
      <c r="D15" s="56">
        <f>SUM(D8:D14)</f>
        <v>79422.09</v>
      </c>
      <c r="E15" s="56">
        <f>SUM(E8:E14)</f>
        <v>82491.88</v>
      </c>
      <c r="F15" s="56">
        <f>SUM(F8:F14)</f>
        <v>96726.510000000009</v>
      </c>
      <c r="G15" s="56">
        <f>SUM(G8:G14)</f>
        <v>218305.33</v>
      </c>
      <c r="H15" s="56">
        <f>SUM(H8:H14)</f>
        <v>127500.53000000001</v>
      </c>
      <c r="I15" s="56">
        <f>SUM(I8:I14)</f>
        <v>0</v>
      </c>
      <c r="J15" s="56">
        <f>SUM(J8:J14)</f>
        <v>0</v>
      </c>
      <c r="K15" s="56">
        <f>SUM(K8:K14)</f>
        <v>0</v>
      </c>
      <c r="L15" s="56">
        <f>SUM(L8:L14)</f>
        <v>0</v>
      </c>
      <c r="M15" s="56">
        <f>SUM(M8:M14)</f>
        <v>0</v>
      </c>
      <c r="N15" s="56">
        <f>SUM(N8:N14)</f>
        <v>0</v>
      </c>
      <c r="O15" s="56">
        <f>SUM(O8:O14)</f>
        <v>683737.43</v>
      </c>
      <c r="P15" s="56">
        <f>SUM(P8:P14)</f>
        <v>1033762.57</v>
      </c>
      <c r="Q15" s="18">
        <f>O15/B15</f>
        <v>0.39810039592430863</v>
      </c>
    </row>
    <row r="16" spans="1:20" x14ac:dyDescent="0.3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3:17" x14ac:dyDescent="0.3">
      <c r="F17" s="1"/>
    </row>
    <row r="18" spans="3:17" x14ac:dyDescent="0.3">
      <c r="C18" s="55"/>
      <c r="D18" s="55"/>
      <c r="E18" s="55"/>
      <c r="F18" s="55"/>
      <c r="G18" s="55"/>
      <c r="H18" s="55"/>
      <c r="I18" s="1"/>
      <c r="J18" s="1"/>
      <c r="K18" s="1"/>
      <c r="L18" s="1"/>
      <c r="M18" s="1"/>
      <c r="N18" s="1"/>
      <c r="O18" s="1"/>
    </row>
    <row r="19" spans="3:17" x14ac:dyDescent="0.3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3:17" x14ac:dyDescent="0.3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9"/>
      <c r="O20" s="1"/>
      <c r="Q20"/>
    </row>
    <row r="21" spans="3:17" x14ac:dyDescent="0.3">
      <c r="C21" s="1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"/>
      <c r="Q21"/>
    </row>
    <row r="22" spans="3:17" x14ac:dyDescent="0.3">
      <c r="C22" s="1"/>
      <c r="D22" s="1"/>
      <c r="E22" s="1"/>
      <c r="F22" s="1"/>
      <c r="G22" s="1"/>
      <c r="H22" s="1"/>
      <c r="I22" s="19"/>
      <c r="J22" s="19"/>
      <c r="K22" s="19"/>
      <c r="L22" s="19"/>
      <c r="M22" s="19"/>
      <c r="N22" s="19"/>
      <c r="O22" s="1"/>
      <c r="Q22"/>
    </row>
    <row r="23" spans="3:17" x14ac:dyDescent="0.3">
      <c r="C23" s="1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"/>
      <c r="Q23"/>
    </row>
    <row r="24" spans="3:17" x14ac:dyDescent="0.3">
      <c r="C24" s="1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3:17" x14ac:dyDescent="0.3">
      <c r="C25" s="1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3:17" x14ac:dyDescent="0.3"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  <row r="27" spans="3:17" x14ac:dyDescent="0.3"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</row>
  </sheetData>
  <mergeCells count="2">
    <mergeCell ref="A3:Q3"/>
    <mergeCell ref="A4:Q4"/>
  </mergeCells>
  <phoneticPr fontId="3" type="noConversion"/>
  <printOptions horizontalCentered="1"/>
  <pageMargins left="0" right="0" top="0.74803149606299213" bottom="0.74803149606299213" header="0.31496062992125984" footer="0.31496062992125984"/>
  <pageSetup paperSize="9" scale="7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3"/>
  <sheetViews>
    <sheetView topLeftCell="B1" zoomScale="70" zoomScaleNormal="70" workbookViewId="0">
      <selection activeCell="N32" sqref="N32"/>
    </sheetView>
  </sheetViews>
  <sheetFormatPr baseColWidth="10" defaultRowHeight="14.4" x14ac:dyDescent="0.3"/>
  <cols>
    <col min="1" max="1" width="15.109375" style="17" customWidth="1"/>
    <col min="2" max="2" width="35.6640625" style="17" bestFit="1" customWidth="1"/>
    <col min="3" max="3" width="13.33203125" style="17" customWidth="1"/>
    <col min="4" max="4" width="16.5546875" style="17" customWidth="1"/>
    <col min="5" max="5" width="11.6640625" style="17" bestFit="1" customWidth="1"/>
    <col min="6" max="6" width="13.88671875" style="17" customWidth="1"/>
    <col min="11" max="11" width="12.6640625" bestFit="1" customWidth="1"/>
    <col min="15" max="15" width="14.5546875" bestFit="1" customWidth="1"/>
    <col min="16" max="16" width="14.109375" bestFit="1" customWidth="1"/>
  </cols>
  <sheetData>
    <row r="1" spans="1:15" x14ac:dyDescent="0.3">
      <c r="A1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5" ht="15" customHeight="1" x14ac:dyDescent="0.3">
      <c r="A2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5" ht="15" customHeight="1" thickBot="1" x14ac:dyDescent="0.35">
      <c r="A3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5" ht="15" customHeight="1" thickBot="1" x14ac:dyDescent="0.35">
      <c r="A4"/>
      <c r="B4" s="20"/>
      <c r="C4" s="59" t="s">
        <v>13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1:15" ht="15" customHeight="1" thickBot="1" x14ac:dyDescent="0.35">
      <c r="A5"/>
      <c r="B5" s="21"/>
      <c r="C5" s="22" t="s">
        <v>23</v>
      </c>
      <c r="D5" s="22" t="s">
        <v>7</v>
      </c>
      <c r="E5" s="22" t="s">
        <v>8</v>
      </c>
      <c r="F5" s="22" t="s">
        <v>9</v>
      </c>
      <c r="G5" s="22" t="s">
        <v>10</v>
      </c>
      <c r="H5" s="22" t="s">
        <v>24</v>
      </c>
      <c r="I5" s="22" t="s">
        <v>15</v>
      </c>
      <c r="J5" s="22" t="s">
        <v>16</v>
      </c>
      <c r="K5" s="22" t="s">
        <v>17</v>
      </c>
      <c r="L5" s="22" t="s">
        <v>18</v>
      </c>
      <c r="M5" s="22" t="s">
        <v>19</v>
      </c>
      <c r="N5" s="22" t="s">
        <v>20</v>
      </c>
      <c r="O5" s="23" t="s">
        <v>2</v>
      </c>
    </row>
    <row r="6" spans="1:15" ht="15" customHeight="1" thickTop="1" thickBot="1" x14ac:dyDescent="0.35">
      <c r="A6"/>
      <c r="B6" s="24" t="s">
        <v>25</v>
      </c>
      <c r="C6" s="25">
        <f>'[7]Club du hameau'!B$26</f>
        <v>0</v>
      </c>
      <c r="D6" s="26">
        <f>'[7]Club du hameau'!C$26</f>
        <v>0</v>
      </c>
      <c r="E6" s="26">
        <f>'[7]Club du hameau'!D$26</f>
        <v>11900</v>
      </c>
      <c r="F6" s="26">
        <f>'[7]Club du hameau'!E$26</f>
        <v>12500</v>
      </c>
      <c r="G6" s="26">
        <f>'[7]Club du hameau'!F$26</f>
        <v>18327</v>
      </c>
      <c r="H6" s="26">
        <f>'[7]Club du hameau'!G$26</f>
        <v>24986</v>
      </c>
      <c r="I6" s="26">
        <f>'[7]Club du hameau'!H$26</f>
        <v>0</v>
      </c>
      <c r="J6" s="26">
        <f>'[7]Club du hameau'!I$26</f>
        <v>0</v>
      </c>
      <c r="K6" s="26">
        <f>'[7]Club du hameau'!J$26</f>
        <v>0</v>
      </c>
      <c r="L6" s="26">
        <f>'[7]Club du hameau'!K$26</f>
        <v>0</v>
      </c>
      <c r="M6" s="26">
        <f>'[7]Club du hameau'!L$26</f>
        <v>0</v>
      </c>
      <c r="N6" s="26">
        <f>'[7]Club du hameau'!M$26</f>
        <v>0</v>
      </c>
      <c r="O6" s="47">
        <f>'[7]Club du hameau'!N$26</f>
        <v>67713</v>
      </c>
    </row>
    <row r="7" spans="1:15" s="16" customFormat="1" ht="15.6" thickTop="1" thickBot="1" x14ac:dyDescent="0.35">
      <c r="A7"/>
      <c r="B7" s="24" t="s">
        <v>26</v>
      </c>
      <c r="C7" s="27">
        <f>'[7]Rénov ponts'!B$26</f>
        <v>0</v>
      </c>
      <c r="D7" s="28">
        <f>'[7]Rénov ponts'!C$26</f>
        <v>0</v>
      </c>
      <c r="E7" s="28">
        <f>'[7]Rénov ponts'!D$26</f>
        <v>1925</v>
      </c>
      <c r="F7" s="28">
        <f>'[7]Rénov ponts'!E$26</f>
        <v>1925</v>
      </c>
      <c r="G7" s="28">
        <f>'[7]Rénov ponts'!F$26</f>
        <v>0</v>
      </c>
      <c r="H7" s="28">
        <f>'[7]Rénov ponts'!G$26</f>
        <v>470</v>
      </c>
      <c r="I7" s="28">
        <f>'[7]Rénov ponts'!H$26</f>
        <v>0</v>
      </c>
      <c r="J7" s="28">
        <f>'[7]Rénov ponts'!I$26</f>
        <v>0</v>
      </c>
      <c r="K7" s="28">
        <f>'[7]Rénov ponts'!J$26</f>
        <v>0</v>
      </c>
      <c r="L7" s="28">
        <f>'[7]Rénov ponts'!K$26</f>
        <v>0</v>
      </c>
      <c r="M7" s="28">
        <f>'[7]Rénov ponts'!L$26</f>
        <v>0</v>
      </c>
      <c r="N7" s="28">
        <f>'[7]Rénov ponts'!M$26</f>
        <v>0</v>
      </c>
      <c r="O7" s="48">
        <f>'[7]Rénov ponts'!N$26</f>
        <v>4320</v>
      </c>
    </row>
    <row r="8" spans="1:15" s="16" customFormat="1" ht="15.6" thickTop="1" thickBot="1" x14ac:dyDescent="0.35">
      <c r="A8"/>
      <c r="B8" s="24" t="s">
        <v>27</v>
      </c>
      <c r="C8" s="27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48">
        <f t="shared" ref="O8:O19" si="0">SUM(C8:N8)</f>
        <v>0</v>
      </c>
    </row>
    <row r="9" spans="1:15" ht="15.6" thickTop="1" thickBot="1" x14ac:dyDescent="0.35">
      <c r="A9"/>
      <c r="B9" s="24" t="s">
        <v>28</v>
      </c>
      <c r="C9" s="27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48">
        <f t="shared" si="0"/>
        <v>0</v>
      </c>
    </row>
    <row r="10" spans="1:15" ht="15.6" thickTop="1" thickBot="1" x14ac:dyDescent="0.35">
      <c r="A10"/>
      <c r="B10" s="24" t="s">
        <v>29</v>
      </c>
      <c r="C10" s="27">
        <v>0</v>
      </c>
      <c r="D10" s="28">
        <v>900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48">
        <f t="shared" si="0"/>
        <v>900</v>
      </c>
    </row>
    <row r="11" spans="1:15" ht="15.6" thickTop="1" thickBot="1" x14ac:dyDescent="0.35">
      <c r="A11"/>
      <c r="B11" s="24" t="s">
        <v>30</v>
      </c>
      <c r="C11" s="27">
        <f>'[7]Matériels de sécurité et vidéos'!B$31</f>
        <v>0</v>
      </c>
      <c r="D11" s="28">
        <f>'[7]Matériels de sécurité et vidéos'!C$31</f>
        <v>5000</v>
      </c>
      <c r="E11" s="28">
        <f>'[7]Matériels de sécurité et vidéos'!D$31</f>
        <v>15900</v>
      </c>
      <c r="F11" s="28">
        <f>'[7]Matériels de sécurité et vidéos'!E$31</f>
        <v>35764</v>
      </c>
      <c r="G11" s="28">
        <f>'[7]Matériels de sécurité et vidéos'!F$31</f>
        <v>28845</v>
      </c>
      <c r="H11" s="28">
        <f>'[7]Matériels de sécurité et vidéos'!G$31</f>
        <v>36157.5</v>
      </c>
      <c r="I11" s="28">
        <f>'[7]Matériels de sécurité et vidéos'!H$31</f>
        <v>0</v>
      </c>
      <c r="J11" s="28">
        <f>'[7]Matériels de sécurité et vidéos'!I$31</f>
        <v>0</v>
      </c>
      <c r="K11" s="28">
        <f>'[7]Matériels de sécurité et vidéos'!J$31</f>
        <v>0</v>
      </c>
      <c r="L11" s="28">
        <f>'[7]Matériels de sécurité et vidéos'!K$31</f>
        <v>0</v>
      </c>
      <c r="M11" s="28">
        <f>'[7]Matériels de sécurité et vidéos'!L$31</f>
        <v>0</v>
      </c>
      <c r="N11" s="28">
        <f>'[7]Matériels de sécurité et vidéos'!M$31</f>
        <v>0</v>
      </c>
      <c r="O11" s="48">
        <f>'[7]Matériels de sécurité et vidéos'!N$31</f>
        <v>121666.5</v>
      </c>
    </row>
    <row r="12" spans="1:15" ht="15.6" thickTop="1" thickBot="1" x14ac:dyDescent="0.35">
      <c r="A12"/>
      <c r="B12" s="24" t="s">
        <v>45</v>
      </c>
      <c r="C12" s="27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48">
        <f t="shared" si="0"/>
        <v>0</v>
      </c>
    </row>
    <row r="13" spans="1:15" ht="15.6" thickTop="1" thickBot="1" x14ac:dyDescent="0.35">
      <c r="A13"/>
      <c r="B13" s="24" t="s">
        <v>31</v>
      </c>
      <c r="C13" s="27">
        <f>'[7]Equip pour le personnel'!B$18</f>
        <v>1400</v>
      </c>
      <c r="D13" s="28">
        <f>'[7]Equip pour le personnel'!C$18</f>
        <v>540</v>
      </c>
      <c r="E13" s="28">
        <f>'[7]Equip pour le personnel'!D$18</f>
        <v>0</v>
      </c>
      <c r="F13" s="28">
        <f>'[7]Equip pour le personnel'!E$18</f>
        <v>0</v>
      </c>
      <c r="G13" s="28">
        <f>'[7]Equip pour le personnel'!F$18</f>
        <v>0</v>
      </c>
      <c r="H13" s="28">
        <f>'[7]Equip pour le personnel'!G$18</f>
        <v>0</v>
      </c>
      <c r="I13" s="28">
        <f>'[7]Equip pour le personnel'!H$18</f>
        <v>0</v>
      </c>
      <c r="J13" s="28">
        <f>'[7]Equip pour le personnel'!I$18</f>
        <v>0</v>
      </c>
      <c r="K13" s="28">
        <f>'[7]Equip pour le personnel'!J$18</f>
        <v>0</v>
      </c>
      <c r="L13" s="28">
        <f>'[7]Equip pour le personnel'!K$18</f>
        <v>0</v>
      </c>
      <c r="M13" s="28">
        <f>'[7]Equip pour le personnel'!L$18</f>
        <v>0</v>
      </c>
      <c r="N13" s="28">
        <f>'[7]Equip pour le personnel'!M$18</f>
        <v>0</v>
      </c>
      <c r="O13" s="48">
        <f>'[7]Equip pour le personnel'!N$18</f>
        <v>1940</v>
      </c>
    </row>
    <row r="14" spans="1:15" ht="15.6" thickTop="1" thickBot="1" x14ac:dyDescent="0.35">
      <c r="A14"/>
      <c r="B14" s="24" t="s">
        <v>44</v>
      </c>
      <c r="C14" s="27">
        <f>[7]Fontaine!B$18</f>
        <v>0</v>
      </c>
      <c r="D14" s="28">
        <f>[7]Fontaine!C$18</f>
        <v>0</v>
      </c>
      <c r="E14" s="28">
        <f>[7]Fontaine!D$18</f>
        <v>0</v>
      </c>
      <c r="F14" s="28">
        <f>[7]Fontaine!E$18</f>
        <v>0</v>
      </c>
      <c r="G14" s="28">
        <f>[7]Fontaine!F$18</f>
        <v>0</v>
      </c>
      <c r="H14" s="28">
        <f>[7]Fontaine!G$18</f>
        <v>3216</v>
      </c>
      <c r="I14" s="28">
        <f>[7]Fontaine!H$18</f>
        <v>0</v>
      </c>
      <c r="J14" s="28">
        <f>[7]Fontaine!I$18</f>
        <v>0</v>
      </c>
      <c r="K14" s="28">
        <f>[7]Fontaine!J$18</f>
        <v>0</v>
      </c>
      <c r="L14" s="28">
        <f>[7]Fontaine!K$18</f>
        <v>0</v>
      </c>
      <c r="M14" s="28">
        <f>[7]Fontaine!L$18</f>
        <v>0</v>
      </c>
      <c r="N14" s="28">
        <f>[7]Fontaine!M$18</f>
        <v>0</v>
      </c>
      <c r="O14" s="48">
        <f>[7]Fontaine!N$18</f>
        <v>3216</v>
      </c>
    </row>
    <row r="15" spans="1:15" ht="15.6" thickTop="1" thickBot="1" x14ac:dyDescent="0.35">
      <c r="A15"/>
      <c r="B15" s="24" t="s">
        <v>32</v>
      </c>
      <c r="C15" s="27">
        <f>'[7]Eclairage des voies publiques'!B$22</f>
        <v>0</v>
      </c>
      <c r="D15" s="28">
        <f>'[7]Eclairage des voies publiques'!C$22</f>
        <v>11622.5</v>
      </c>
      <c r="E15" s="28">
        <f>'[7]Eclairage des voies publiques'!D$22</f>
        <v>1200</v>
      </c>
      <c r="F15" s="28">
        <f>'[7]Eclairage des voies publiques'!E$22</f>
        <v>1380</v>
      </c>
      <c r="G15" s="28">
        <f>'[7]Eclairage des voies publiques'!F$22</f>
        <v>1728</v>
      </c>
      <c r="H15" s="28">
        <f>'[7]Eclairage des voies publiques'!G$22</f>
        <v>0</v>
      </c>
      <c r="I15" s="28">
        <f>'[7]Eclairage des voies publiques'!H$22</f>
        <v>0</v>
      </c>
      <c r="J15" s="28">
        <f>'[7]Eclairage des voies publiques'!I$22</f>
        <v>0</v>
      </c>
      <c r="K15" s="28">
        <f>'[7]Eclairage des voies publiques'!J$22</f>
        <v>0</v>
      </c>
      <c r="L15" s="28">
        <f>'[7]Eclairage des voies publiques'!K$22</f>
        <v>0</v>
      </c>
      <c r="M15" s="28">
        <f>'[7]Eclairage des voies publiques'!L$22</f>
        <v>0</v>
      </c>
      <c r="N15" s="28">
        <f>'[7]Eclairage des voies publiques'!M$22</f>
        <v>0</v>
      </c>
      <c r="O15" s="48">
        <f>'[7]Eclairage des voies publiques'!N$22</f>
        <v>15930.5</v>
      </c>
    </row>
    <row r="16" spans="1:15" ht="15.6" thickTop="1" thickBot="1" x14ac:dyDescent="0.35">
      <c r="A16"/>
      <c r="B16" s="24" t="s">
        <v>33</v>
      </c>
      <c r="C16" s="27">
        <f>'[7]Mur de cloture'!B$25</f>
        <v>1270</v>
      </c>
      <c r="D16" s="28">
        <f>'[7]Mur de cloture'!C$25</f>
        <v>0</v>
      </c>
      <c r="E16" s="28">
        <f>'[7]Mur de cloture'!D$25</f>
        <v>0</v>
      </c>
      <c r="F16" s="28">
        <f>'[7]Mur de cloture'!E$25</f>
        <v>0</v>
      </c>
      <c r="G16" s="28">
        <f>'[7]Mur de cloture'!F$25</f>
        <v>0</v>
      </c>
      <c r="H16" s="28">
        <f>'[7]Mur de cloture'!G$25</f>
        <v>0</v>
      </c>
      <c r="I16" s="28">
        <f>'[7]Mur de cloture'!H$25</f>
        <v>0</v>
      </c>
      <c r="J16" s="28">
        <f>'[7]Mur de cloture'!I$25</f>
        <v>0</v>
      </c>
      <c r="K16" s="28">
        <f>'[7]Mur de cloture'!J$25</f>
        <v>0</v>
      </c>
      <c r="L16" s="28">
        <f>'[7]Mur de cloture'!K$25</f>
        <v>0</v>
      </c>
      <c r="M16" s="28">
        <f>'[7]Mur de cloture'!L$25</f>
        <v>0</v>
      </c>
      <c r="N16" s="28">
        <f>'[7]Mur de cloture'!M$25</f>
        <v>0</v>
      </c>
      <c r="O16" s="48">
        <f>'[7]Mur de cloture'!N$25</f>
        <v>1270</v>
      </c>
    </row>
    <row r="17" spans="1:16" ht="15.6" thickTop="1" thickBot="1" x14ac:dyDescent="0.35">
      <c r="A17"/>
      <c r="B17" s="24" t="s">
        <v>34</v>
      </c>
      <c r="C17" s="27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48">
        <f t="shared" si="0"/>
        <v>0</v>
      </c>
    </row>
    <row r="18" spans="1:16" ht="15.6" thickTop="1" thickBot="1" x14ac:dyDescent="0.35">
      <c r="A18"/>
      <c r="B18" s="24" t="s">
        <v>35</v>
      </c>
      <c r="C18" s="27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48">
        <f t="shared" si="0"/>
        <v>0</v>
      </c>
    </row>
    <row r="19" spans="1:16" ht="15.6" thickTop="1" thickBot="1" x14ac:dyDescent="0.35">
      <c r="A19"/>
      <c r="B19" s="24" t="s">
        <v>36</v>
      </c>
      <c r="C19" s="27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48">
        <f t="shared" si="0"/>
        <v>0</v>
      </c>
    </row>
    <row r="20" spans="1:16" ht="15.6" thickTop="1" thickBot="1" x14ac:dyDescent="0.35">
      <c r="A20"/>
      <c r="B20" s="24" t="s">
        <v>37</v>
      </c>
      <c r="C20" s="27">
        <f>'[7]Canal paysager'!B$45</f>
        <v>0</v>
      </c>
      <c r="D20" s="28">
        <f>'[7]Canal paysager'!C$45</f>
        <v>0</v>
      </c>
      <c r="E20" s="28">
        <f>'[7]Canal paysager'!D$45</f>
        <v>0</v>
      </c>
      <c r="F20" s="28">
        <f>'[7]Canal paysager'!E$45</f>
        <v>0</v>
      </c>
      <c r="G20" s="28">
        <f>'[7]Canal paysager'!F$45</f>
        <v>0</v>
      </c>
      <c r="H20" s="28">
        <f>'[7]Canal paysager'!G$45</f>
        <v>2255</v>
      </c>
      <c r="I20" s="28">
        <f>'[7]Canal paysager'!H$45</f>
        <v>0</v>
      </c>
      <c r="J20" s="28">
        <f>'[7]Canal paysager'!I$45</f>
        <v>0</v>
      </c>
      <c r="K20" s="28">
        <f>'[7]Canal paysager'!J$45</f>
        <v>0</v>
      </c>
      <c r="L20" s="28">
        <f>'[7]Canal paysager'!K$45</f>
        <v>0</v>
      </c>
      <c r="M20" s="28">
        <f>'[7]Canal paysager'!L$45</f>
        <v>0</v>
      </c>
      <c r="N20" s="28">
        <f>'[7]Canal paysager'!M$45</f>
        <v>0</v>
      </c>
      <c r="O20" s="48">
        <f>'[7]Canal paysager'!N$45</f>
        <v>2255</v>
      </c>
    </row>
    <row r="21" spans="1:16" ht="15.6" thickTop="1" thickBot="1" x14ac:dyDescent="0.35">
      <c r="A21"/>
      <c r="B21" s="24" t="s">
        <v>39</v>
      </c>
      <c r="C21" s="27">
        <f>'[7]Matériels et outillage '!B$27</f>
        <v>0</v>
      </c>
      <c r="D21" s="28">
        <f>'[7]Matériels et outillage '!C$27</f>
        <v>0</v>
      </c>
      <c r="E21" s="28">
        <f>'[7]Matériels et outillage '!D$27</f>
        <v>0</v>
      </c>
      <c r="F21" s="28">
        <f>'[7]Matériels et outillage '!E$27</f>
        <v>0</v>
      </c>
      <c r="G21" s="28">
        <f>'[7]Matériels et outillage '!F$27</f>
        <v>0</v>
      </c>
      <c r="H21" s="28">
        <f>'[7]Matériels et outillage '!G$27</f>
        <v>3075</v>
      </c>
      <c r="I21" s="28">
        <f>'[7]Matériels et outillage '!H$27</f>
        <v>0</v>
      </c>
      <c r="J21" s="28">
        <f>'[7]Matériels et outillage '!I$27</f>
        <v>0</v>
      </c>
      <c r="K21" s="28">
        <f>'[7]Matériels et outillage '!J$27</f>
        <v>0</v>
      </c>
      <c r="L21" s="28">
        <f>'[7]Matériels et outillage '!K$27</f>
        <v>0</v>
      </c>
      <c r="M21" s="28">
        <f>'[7]Matériels et outillage '!L$27</f>
        <v>0</v>
      </c>
      <c r="N21" s="28">
        <f>'[7]Matériels et outillage '!M$27</f>
        <v>0</v>
      </c>
      <c r="O21" s="48">
        <f>'[7]Matériels et outillage '!N$27</f>
        <v>3075</v>
      </c>
    </row>
    <row r="22" spans="1:16" ht="27.75" customHeight="1" thickTop="1" thickBot="1" x14ac:dyDescent="0.35">
      <c r="A22"/>
      <c r="B22" s="24" t="s">
        <v>38</v>
      </c>
      <c r="C22" s="51">
        <f>'[7]Aménagement des nouveaux jardin'!B$84</f>
        <v>8188.2</v>
      </c>
      <c r="D22" s="50">
        <f>'[7]Aménagement des nouveaux jardin'!C$84</f>
        <v>2441.6</v>
      </c>
      <c r="E22" s="28">
        <f>'[7]Aménagement des nouveaux jardin'!D$84</f>
        <v>13217</v>
      </c>
      <c r="F22" s="28">
        <f>'[7]Aménagement des nouveaux jardin'!E$84</f>
        <v>10550.45</v>
      </c>
      <c r="G22" s="28">
        <f>'[7]Aménagement des nouveaux jardin'!F$84</f>
        <v>0</v>
      </c>
      <c r="H22" s="28">
        <f>'[7]Aménagement des nouveaux jardin'!G$84</f>
        <v>0</v>
      </c>
      <c r="I22" s="28">
        <f>'[7]Aménagement des nouveaux jardin'!H$84</f>
        <v>0</v>
      </c>
      <c r="J22" s="28">
        <f>'[7]Aménagement des nouveaux jardin'!I$84</f>
        <v>0</v>
      </c>
      <c r="K22" s="28">
        <f>'[7]Aménagement des nouveaux jardin'!J$84</f>
        <v>0</v>
      </c>
      <c r="L22" s="28">
        <f>'[7]Aménagement des nouveaux jardin'!K$84</f>
        <v>0</v>
      </c>
      <c r="M22" s="28">
        <f>'[7]Aménagement des nouveaux jardin'!L$84</f>
        <v>0</v>
      </c>
      <c r="N22" s="28">
        <f>'[7]Aménagement des nouveaux jardin'!M$84</f>
        <v>0</v>
      </c>
      <c r="O22" s="49">
        <f>'[7]Aménagement des nouveaux jardin'!N$84</f>
        <v>34397.25</v>
      </c>
    </row>
    <row r="23" spans="1:16" ht="15.6" thickTop="1" thickBot="1" x14ac:dyDescent="0.35">
      <c r="A23"/>
      <c r="B23" s="29"/>
      <c r="C23" s="33">
        <f>SUM(C6:C22)</f>
        <v>10858.2</v>
      </c>
      <c r="D23" s="33">
        <f t="shared" ref="D23:O23" si="1">SUM(D6:D22)</f>
        <v>20504.099999999999</v>
      </c>
      <c r="E23" s="33">
        <f t="shared" si="1"/>
        <v>44142</v>
      </c>
      <c r="F23" s="33">
        <f t="shared" si="1"/>
        <v>62119.45</v>
      </c>
      <c r="G23" s="33">
        <f t="shared" si="1"/>
        <v>48900</v>
      </c>
      <c r="H23" s="33">
        <f t="shared" si="1"/>
        <v>70159.5</v>
      </c>
      <c r="I23" s="33">
        <f t="shared" si="1"/>
        <v>0</v>
      </c>
      <c r="J23" s="33">
        <f t="shared" si="1"/>
        <v>0</v>
      </c>
      <c r="K23" s="33">
        <f t="shared" si="1"/>
        <v>0</v>
      </c>
      <c r="L23" s="33">
        <f t="shared" si="1"/>
        <v>0</v>
      </c>
      <c r="M23" s="33">
        <f t="shared" si="1"/>
        <v>0</v>
      </c>
      <c r="N23" s="33">
        <f t="shared" si="1"/>
        <v>0</v>
      </c>
      <c r="O23" s="33">
        <f t="shared" si="1"/>
        <v>256683.25</v>
      </c>
      <c r="P23" s="31">
        <f>O23-'[7]Récap Inv'!$I$24</f>
        <v>0</v>
      </c>
    </row>
    <row r="24" spans="1:16" x14ac:dyDescent="0.3">
      <c r="B24"/>
      <c r="C24"/>
      <c r="D24"/>
      <c r="E24"/>
      <c r="F24"/>
      <c r="H24" s="30"/>
    </row>
    <row r="25" spans="1:16" ht="31.2" customHeight="1" x14ac:dyDescent="0.3">
      <c r="M25" s="62" t="s">
        <v>46</v>
      </c>
      <c r="N25" s="62"/>
      <c r="O25" s="32">
        <v>450000</v>
      </c>
    </row>
    <row r="26" spans="1:16" ht="31.2" customHeight="1" x14ac:dyDescent="0.3">
      <c r="C26" s="55"/>
      <c r="D26" s="55"/>
      <c r="E26" s="55"/>
      <c r="F26" s="55"/>
      <c r="G26" s="55"/>
      <c r="H26" s="55"/>
      <c r="M26" s="62" t="s">
        <v>21</v>
      </c>
      <c r="N26" s="62"/>
      <c r="O26" s="32">
        <f>+O25-O23</f>
        <v>193316.75</v>
      </c>
    </row>
    <row r="27" spans="1:16" x14ac:dyDescent="0.3">
      <c r="C27" s="34"/>
      <c r="D27" s="34"/>
      <c r="E27" s="34"/>
      <c r="F27" s="34"/>
      <c r="G27" s="34"/>
      <c r="H27" s="34"/>
    </row>
    <row r="33" spans="11:11" x14ac:dyDescent="0.3">
      <c r="K33" s="38"/>
    </row>
  </sheetData>
  <mergeCells count="3">
    <mergeCell ref="C4:N4"/>
    <mergeCell ref="M25:N25"/>
    <mergeCell ref="M26:N26"/>
  </mergeCells>
  <printOptions horizontalCentered="1"/>
  <pageMargins left="0" right="0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Suivi budget general</vt:lpstr>
      <vt:lpstr>Suivi budget de fonctionnement</vt:lpstr>
      <vt:lpstr>Suivi budget d'investissement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hajta</dc:creator>
  <cp:lastModifiedBy>DELL</cp:lastModifiedBy>
  <cp:lastPrinted>2021-07-14T21:44:09Z</cp:lastPrinted>
  <dcterms:created xsi:type="dcterms:W3CDTF">2019-02-02T16:12:42Z</dcterms:created>
  <dcterms:modified xsi:type="dcterms:W3CDTF">2026-07-06T18:25:14Z</dcterms:modified>
</cp:coreProperties>
</file>