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5\06.2025\06.2025\Comptes 06.2025\"/>
    </mc:Choice>
  </mc:AlternateContent>
  <xr:revisionPtr revIDLastSave="0" documentId="13_ncr:1_{5BE8F10F-2A96-4B05-933F-F76C3AE15A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ivi budget de fonctionnement" sheetId="2" r:id="rId1"/>
    <sheet name="Suivi budget d'investissement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0" l="1"/>
  <c r="E6" i="10"/>
  <c r="F6" i="10"/>
  <c r="G6" i="10"/>
  <c r="H6" i="10"/>
  <c r="I6" i="10"/>
  <c r="J6" i="10"/>
  <c r="K6" i="10"/>
  <c r="L6" i="10"/>
  <c r="M6" i="10"/>
  <c r="N6" i="10"/>
  <c r="C6" i="10"/>
  <c r="D12" i="2"/>
  <c r="E12" i="2"/>
  <c r="F12" i="2"/>
  <c r="G12" i="2"/>
  <c r="H12" i="2"/>
  <c r="I12" i="2"/>
  <c r="J12" i="2"/>
  <c r="K12" i="2"/>
  <c r="L12" i="2"/>
  <c r="M12" i="2"/>
  <c r="N12" i="2"/>
  <c r="C12" i="2"/>
  <c r="O11" i="2" l="1"/>
  <c r="D16" i="10" l="1"/>
  <c r="E16" i="10"/>
  <c r="F16" i="10"/>
  <c r="G16" i="10"/>
  <c r="H16" i="10"/>
  <c r="I16" i="10"/>
  <c r="J16" i="10"/>
  <c r="K16" i="10"/>
  <c r="L16" i="10"/>
  <c r="M16" i="10"/>
  <c r="N16" i="10"/>
  <c r="C16" i="10"/>
  <c r="H9" i="2" l="1"/>
  <c r="I9" i="2"/>
  <c r="J9" i="2"/>
  <c r="K9" i="2"/>
  <c r="L9" i="2"/>
  <c r="M9" i="2"/>
  <c r="N9" i="2"/>
  <c r="C9" i="2"/>
  <c r="D9" i="2"/>
  <c r="E9" i="2"/>
  <c r="F9" i="2"/>
  <c r="G9" i="2"/>
  <c r="D11" i="10"/>
  <c r="E11" i="10"/>
  <c r="F11" i="10"/>
  <c r="G11" i="10"/>
  <c r="H11" i="10"/>
  <c r="I11" i="10"/>
  <c r="J11" i="10"/>
  <c r="K11" i="10"/>
  <c r="L11" i="10"/>
  <c r="M11" i="10"/>
  <c r="N11" i="10"/>
  <c r="C11" i="10"/>
  <c r="O6" i="10" l="1"/>
  <c r="D13" i="2" l="1"/>
  <c r="E13" i="2"/>
  <c r="F13" i="2"/>
  <c r="G13" i="2"/>
  <c r="H13" i="2"/>
  <c r="I13" i="2"/>
  <c r="J13" i="2"/>
  <c r="K13" i="2"/>
  <c r="L13" i="2"/>
  <c r="M13" i="2"/>
  <c r="N13" i="2"/>
  <c r="C13" i="2" l="1"/>
  <c r="O13" i="2" s="1"/>
  <c r="R13" i="2" s="1"/>
  <c r="P13" i="2" l="1"/>
  <c r="D14" i="2"/>
  <c r="E14" i="2"/>
  <c r="F14" i="2"/>
  <c r="G14" i="2"/>
  <c r="H14" i="2"/>
  <c r="I14" i="2"/>
  <c r="J14" i="2"/>
  <c r="K14" i="2"/>
  <c r="L14" i="2"/>
  <c r="M14" i="2"/>
  <c r="N14" i="2"/>
  <c r="C14" i="2"/>
  <c r="D10" i="2" l="1"/>
  <c r="E10" i="2"/>
  <c r="F10" i="2"/>
  <c r="G10" i="2"/>
  <c r="H10" i="2"/>
  <c r="I10" i="2"/>
  <c r="J10" i="2"/>
  <c r="K10" i="2"/>
  <c r="L10" i="2"/>
  <c r="M10" i="2"/>
  <c r="N10" i="2"/>
  <c r="C10" i="2"/>
  <c r="O10" i="2" l="1"/>
  <c r="D8" i="2"/>
  <c r="E8" i="2"/>
  <c r="F8" i="2"/>
  <c r="G8" i="2"/>
  <c r="H8" i="2"/>
  <c r="I8" i="2"/>
  <c r="J8" i="2"/>
  <c r="K8" i="2"/>
  <c r="L8" i="2"/>
  <c r="M8" i="2"/>
  <c r="N8" i="2"/>
  <c r="C8" i="2"/>
  <c r="O8" i="2" l="1"/>
  <c r="D22" i="10"/>
  <c r="E22" i="10"/>
  <c r="F22" i="10"/>
  <c r="G22" i="10"/>
  <c r="H22" i="10"/>
  <c r="I22" i="10"/>
  <c r="J22" i="10"/>
  <c r="K22" i="10"/>
  <c r="L22" i="10"/>
  <c r="M22" i="10"/>
  <c r="N22" i="10"/>
  <c r="C22" i="10"/>
  <c r="D21" i="10"/>
  <c r="E21" i="10"/>
  <c r="F21" i="10"/>
  <c r="G21" i="10"/>
  <c r="H21" i="10"/>
  <c r="I21" i="10"/>
  <c r="J21" i="10"/>
  <c r="K21" i="10"/>
  <c r="L21" i="10"/>
  <c r="M21" i="10"/>
  <c r="N21" i="10"/>
  <c r="C21" i="10"/>
  <c r="D20" i="10"/>
  <c r="E20" i="10"/>
  <c r="F20" i="10"/>
  <c r="G20" i="10"/>
  <c r="H20" i="10"/>
  <c r="I20" i="10"/>
  <c r="J20" i="10"/>
  <c r="K20" i="10"/>
  <c r="L20" i="10"/>
  <c r="M20" i="10"/>
  <c r="N20" i="10"/>
  <c r="C20" i="10"/>
  <c r="D19" i="10"/>
  <c r="E19" i="10"/>
  <c r="F19" i="10"/>
  <c r="G19" i="10"/>
  <c r="H19" i="10"/>
  <c r="I19" i="10"/>
  <c r="J19" i="10"/>
  <c r="K19" i="10"/>
  <c r="L19" i="10"/>
  <c r="M19" i="10"/>
  <c r="N19" i="10"/>
  <c r="C19" i="10"/>
  <c r="D18" i="10"/>
  <c r="E18" i="10"/>
  <c r="F18" i="10"/>
  <c r="G18" i="10"/>
  <c r="H18" i="10"/>
  <c r="I18" i="10"/>
  <c r="J18" i="10"/>
  <c r="K18" i="10"/>
  <c r="L18" i="10"/>
  <c r="M18" i="10"/>
  <c r="N18" i="10"/>
  <c r="C18" i="10"/>
  <c r="D17" i="10"/>
  <c r="E17" i="10"/>
  <c r="F17" i="10"/>
  <c r="G17" i="10"/>
  <c r="H17" i="10"/>
  <c r="I17" i="10"/>
  <c r="J17" i="10"/>
  <c r="K17" i="10"/>
  <c r="L17" i="10"/>
  <c r="M17" i="10"/>
  <c r="N17" i="10"/>
  <c r="C17" i="10"/>
  <c r="D15" i="10"/>
  <c r="E15" i="10"/>
  <c r="F15" i="10"/>
  <c r="G15" i="10"/>
  <c r="H15" i="10"/>
  <c r="I15" i="10"/>
  <c r="J15" i="10"/>
  <c r="K15" i="10"/>
  <c r="L15" i="10"/>
  <c r="M15" i="10"/>
  <c r="N15" i="10"/>
  <c r="C15" i="10"/>
  <c r="D14" i="10"/>
  <c r="E14" i="10"/>
  <c r="F14" i="10"/>
  <c r="G14" i="10"/>
  <c r="H14" i="10"/>
  <c r="I14" i="10"/>
  <c r="J14" i="10"/>
  <c r="K14" i="10"/>
  <c r="L14" i="10"/>
  <c r="M14" i="10"/>
  <c r="N14" i="10"/>
  <c r="C14" i="10"/>
  <c r="D13" i="10"/>
  <c r="E13" i="10"/>
  <c r="F13" i="10"/>
  <c r="G13" i="10"/>
  <c r="H13" i="10"/>
  <c r="I13" i="10"/>
  <c r="J13" i="10"/>
  <c r="K13" i="10"/>
  <c r="L13" i="10"/>
  <c r="M13" i="10"/>
  <c r="N13" i="10"/>
  <c r="C13" i="10"/>
  <c r="C12" i="10"/>
  <c r="D12" i="10"/>
  <c r="E12" i="10"/>
  <c r="F12" i="10"/>
  <c r="G12" i="10"/>
  <c r="H12" i="10"/>
  <c r="I12" i="10"/>
  <c r="J12" i="10"/>
  <c r="K12" i="10"/>
  <c r="M12" i="10"/>
  <c r="N12" i="10"/>
  <c r="L12" i="10"/>
  <c r="D10" i="10"/>
  <c r="E10" i="10"/>
  <c r="F10" i="10"/>
  <c r="G10" i="10"/>
  <c r="H10" i="10"/>
  <c r="I10" i="10"/>
  <c r="J10" i="10"/>
  <c r="K10" i="10"/>
  <c r="L10" i="10"/>
  <c r="M10" i="10"/>
  <c r="N10" i="10"/>
  <c r="C10" i="10"/>
  <c r="D9" i="10"/>
  <c r="E9" i="10"/>
  <c r="F9" i="10"/>
  <c r="G9" i="10"/>
  <c r="H9" i="10"/>
  <c r="I9" i="10"/>
  <c r="J9" i="10"/>
  <c r="K9" i="10"/>
  <c r="L9" i="10"/>
  <c r="M9" i="10"/>
  <c r="N9" i="10"/>
  <c r="C9" i="10"/>
  <c r="D8" i="10"/>
  <c r="E8" i="10"/>
  <c r="F8" i="10"/>
  <c r="G8" i="10"/>
  <c r="H8" i="10"/>
  <c r="I8" i="10"/>
  <c r="J8" i="10"/>
  <c r="K8" i="10"/>
  <c r="L8" i="10"/>
  <c r="M8" i="10"/>
  <c r="N8" i="10"/>
  <c r="C8" i="10"/>
  <c r="D7" i="10"/>
  <c r="E7" i="10"/>
  <c r="F7" i="10"/>
  <c r="G7" i="10"/>
  <c r="H7" i="10"/>
  <c r="I7" i="10"/>
  <c r="J7" i="10"/>
  <c r="K7" i="10"/>
  <c r="L7" i="10"/>
  <c r="M7" i="10"/>
  <c r="N7" i="10"/>
  <c r="C7" i="10"/>
  <c r="O12" i="10" l="1"/>
  <c r="O7" i="10" l="1"/>
  <c r="O21" i="10" l="1"/>
  <c r="D23" i="10"/>
  <c r="E23" i="10"/>
  <c r="F23" i="10"/>
  <c r="G23" i="10"/>
  <c r="H23" i="10"/>
  <c r="I23" i="10"/>
  <c r="J23" i="10"/>
  <c r="K23" i="10"/>
  <c r="L23" i="10"/>
  <c r="M23" i="10"/>
  <c r="C23" i="10"/>
  <c r="O22" i="10" l="1"/>
  <c r="O20" i="10"/>
  <c r="O19" i="10"/>
  <c r="O18" i="10"/>
  <c r="O17" i="10"/>
  <c r="O16" i="10"/>
  <c r="O15" i="10"/>
  <c r="O14" i="10"/>
  <c r="O13" i="10"/>
  <c r="O11" i="10"/>
  <c r="O10" i="10"/>
  <c r="O9" i="10"/>
  <c r="Q11" i="2" l="1"/>
  <c r="P11" i="2"/>
  <c r="O14" i="2" l="1"/>
  <c r="R14" i="2" s="1"/>
  <c r="Q13" i="2" l="1"/>
  <c r="B15" i="2" l="1"/>
  <c r="P14" i="2" l="1"/>
  <c r="Q14" i="2"/>
  <c r="O9" i="2" l="1"/>
  <c r="R9" i="2" s="1"/>
  <c r="P9" i="2" l="1"/>
  <c r="Q9" i="2"/>
  <c r="R10" i="2" l="1"/>
  <c r="Q10" i="2" l="1"/>
  <c r="P10" i="2"/>
  <c r="K15" i="2" l="1"/>
  <c r="N15" i="2"/>
  <c r="M15" i="2"/>
  <c r="L15" i="2"/>
  <c r="J15" i="2"/>
  <c r="I15" i="2"/>
  <c r="H15" i="2"/>
  <c r="G15" i="2"/>
  <c r="F15" i="2"/>
  <c r="E15" i="2"/>
  <c r="O12" i="2" l="1"/>
  <c r="R12" i="2" s="1"/>
  <c r="C15" i="2"/>
  <c r="P12" i="2" l="1"/>
  <c r="Q12" i="2"/>
  <c r="O8" i="10" l="1"/>
  <c r="O23" i="10" s="1"/>
  <c r="N23" i="10"/>
  <c r="O26" i="10" l="1"/>
  <c r="D15" i="2" l="1"/>
  <c r="R8" i="2"/>
  <c r="P8" i="2" l="1"/>
  <c r="P15" i="2" s="1"/>
  <c r="O15" i="2"/>
  <c r="Q15" i="2" s="1"/>
  <c r="Q8" i="2"/>
  <c r="P23" i="10" l="1"/>
</calcChain>
</file>

<file path=xl/sharedStrings.xml><?xml version="1.0" encoding="utf-8"?>
<sst xmlns="http://schemas.openxmlformats.org/spreadsheetml/2006/main" count="71" uniqueCount="48">
  <si>
    <t>Désignation</t>
  </si>
  <si>
    <t>Reliquat</t>
  </si>
  <si>
    <t>Total Dép</t>
  </si>
  <si>
    <t>% dép/budget</t>
  </si>
  <si>
    <t>Traitement des nuisibles</t>
  </si>
  <si>
    <t>Animation</t>
  </si>
  <si>
    <t>Divers et imprévus</t>
  </si>
  <si>
    <t>Février</t>
  </si>
  <si>
    <t>Mars</t>
  </si>
  <si>
    <t>Avril</t>
  </si>
  <si>
    <t>Mai</t>
  </si>
  <si>
    <t>Frais du personnel</t>
  </si>
  <si>
    <t>Propreté et nettoyage</t>
  </si>
  <si>
    <t>Dépenses</t>
  </si>
  <si>
    <t xml:space="preserve"> Janvier </t>
  </si>
  <si>
    <t>Juillet</t>
  </si>
  <si>
    <t>Août</t>
  </si>
  <si>
    <t>Septembre</t>
  </si>
  <si>
    <t>Octobre</t>
  </si>
  <si>
    <t>Novembre</t>
  </si>
  <si>
    <t>Décembre</t>
  </si>
  <si>
    <t>Reliquat Budget</t>
  </si>
  <si>
    <t>juin</t>
  </si>
  <si>
    <t>Janvier</t>
  </si>
  <si>
    <t>Juin</t>
  </si>
  <si>
    <t>01-Club du hameau</t>
  </si>
  <si>
    <t>02-Rénovation des ponts</t>
  </si>
  <si>
    <t>03-Réhabilitations des trottoirs</t>
  </si>
  <si>
    <t>04-Mobiliers Urbains</t>
  </si>
  <si>
    <t>05-Divers aménagements &amp; équipements</t>
  </si>
  <si>
    <t>06-Matèriel de sécurité et surveillance</t>
  </si>
  <si>
    <t>07-Matèriels de mobilité et transport</t>
  </si>
  <si>
    <t>08-Equipement pour le personnel</t>
  </si>
  <si>
    <t>09-Réhabilitations des fontaines</t>
  </si>
  <si>
    <t>10-Eclairage des voies publiques</t>
  </si>
  <si>
    <t>11-Mur de clôture</t>
  </si>
  <si>
    <t>12-Aménagement jardin du lac</t>
  </si>
  <si>
    <t>13-Rénovation des passages</t>
  </si>
  <si>
    <t>14-Rénovation des parkings</t>
  </si>
  <si>
    <t>15-Canal paysager</t>
  </si>
  <si>
    <t>16-Aménagement des nouveaux jardins</t>
  </si>
  <si>
    <t>16-Matériel et outillage</t>
  </si>
  <si>
    <t>Frais d'entretien</t>
  </si>
  <si>
    <t>Espace vert collectifs</t>
  </si>
  <si>
    <t xml:space="preserve"> Budget de fonctionnement 2025</t>
  </si>
  <si>
    <t>Mt prévu 2025</t>
  </si>
  <si>
    <t>Budget prévu 2025</t>
  </si>
  <si>
    <t>Réalisation du budget de fonctionnement premier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</si>
</sst>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C]d\-mmm;@"/>
    <numFmt numFmtId="165" formatCode="_-* #,##0.00\ _€_-;\-* #,##0.00\ _€_-;_-* &quot;-&quot;??\ _€_-;_-@_-"/>
    <numFmt numFmtId="166" formatCode="_-* #,##0.00\ _D_H_-;\-* #,##0.00\ _D_H_-;_-* &quot;-&quot;??\ _D_H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Calibri Light"/>
      <family val="1"/>
      <scheme val="maj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 style="thick">
        <color theme="0"/>
      </left>
      <right/>
      <top style="thin">
        <color theme="6"/>
      </top>
      <bottom/>
      <diagonal/>
    </border>
    <border>
      <left style="thick">
        <color theme="0"/>
      </left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/>
      <top style="thin">
        <color theme="6"/>
      </top>
      <bottom style="medium">
        <color indexed="64"/>
      </bottom>
      <diagonal/>
    </border>
    <border>
      <left style="thick">
        <color theme="0"/>
      </left>
      <right/>
      <top style="thin">
        <color theme="6"/>
      </top>
      <bottom style="medium">
        <color indexed="64"/>
      </bottom>
      <diagonal/>
    </border>
    <border>
      <left style="thick">
        <color theme="0"/>
      </left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5" applyNumberFormat="0" applyFill="0" applyAlignment="0" applyProtection="0"/>
  </cellStyleXfs>
  <cellXfs count="48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4" fontId="0" fillId="0" borderId="2" xfId="0" applyNumberFormat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4" xfId="0" applyNumberFormat="1" applyFont="1" applyBorder="1"/>
    <xf numFmtId="4" fontId="0" fillId="0" borderId="4" xfId="0" applyNumberForma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justify" vertical="justify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/>
    <xf numFmtId="10" fontId="6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0" fontId="0" fillId="4" borderId="0" xfId="0" applyFill="1"/>
    <xf numFmtId="0" fontId="0" fillId="4" borderId="9" xfId="0" applyFill="1" applyBorder="1"/>
    <xf numFmtId="0" fontId="10" fillId="0" borderId="10" xfId="3" applyFont="1" applyFill="1" applyBorder="1" applyAlignment="1">
      <alignment horizontal="center" vertical="center"/>
    </xf>
    <xf numFmtId="0" fontId="0" fillId="5" borderId="0" xfId="0" applyFill="1"/>
    <xf numFmtId="0" fontId="11" fillId="6" borderId="11" xfId="0" applyFont="1" applyFill="1" applyBorder="1" applyAlignment="1">
      <alignment horizontal="left" vertical="center" indent="1"/>
    </xf>
    <xf numFmtId="43" fontId="0" fillId="4" borderId="12" xfId="2" applyFont="1" applyFill="1" applyBorder="1"/>
    <xf numFmtId="43" fontId="0" fillId="4" borderId="13" xfId="2" applyFont="1" applyFill="1" applyBorder="1"/>
    <xf numFmtId="43" fontId="0" fillId="4" borderId="14" xfId="2" applyFont="1" applyFill="1" applyBorder="1"/>
    <xf numFmtId="43" fontId="0" fillId="4" borderId="15" xfId="2" applyFont="1" applyFill="1" applyBorder="1"/>
    <xf numFmtId="43" fontId="0" fillId="4" borderId="16" xfId="2" applyFont="1" applyFill="1" applyBorder="1"/>
    <xf numFmtId="43" fontId="0" fillId="4" borderId="17" xfId="2" applyFont="1" applyFill="1" applyBorder="1"/>
    <xf numFmtId="43" fontId="0" fillId="4" borderId="18" xfId="2" applyFont="1" applyFill="1" applyBorder="1"/>
    <xf numFmtId="43" fontId="0" fillId="4" borderId="19" xfId="2" applyFont="1" applyFill="1" applyBorder="1"/>
    <xf numFmtId="43" fontId="0" fillId="4" borderId="20" xfId="2" applyFont="1" applyFill="1" applyBorder="1"/>
    <xf numFmtId="165" fontId="0" fillId="4" borderId="21" xfId="0" applyNumberFormat="1" applyFill="1" applyBorder="1"/>
    <xf numFmtId="0" fontId="9" fillId="0" borderId="23" xfId="0" applyFont="1" applyBorder="1"/>
    <xf numFmtId="166" fontId="0" fillId="3" borderId="0" xfId="0" applyNumberFormat="1" applyFill="1"/>
    <xf numFmtId="43" fontId="9" fillId="7" borderId="0" xfId="2" applyFont="1" applyFill="1" applyAlignment="1">
      <alignment vertical="center"/>
    </xf>
    <xf numFmtId="43" fontId="9" fillId="4" borderId="22" xfId="2" applyFont="1" applyFill="1" applyBorder="1"/>
    <xf numFmtId="0" fontId="2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" fontId="1" fillId="3" borderId="0" xfId="0" applyNumberFormat="1" applyFont="1" applyFill="1" applyAlignment="1">
      <alignment vertical="center" shrinkToFit="1"/>
    </xf>
    <xf numFmtId="165" fontId="0" fillId="0" borderId="0" xfId="0" applyNumberFormat="1" applyAlignment="1">
      <alignment horizontal="justify" vertical="justify"/>
    </xf>
  </cellXfs>
  <cellStyles count="4">
    <cellStyle name="Milliers" xfId="2" builtinId="3"/>
    <cellStyle name="Normal" xfId="0" builtinId="0"/>
    <cellStyle name="Pourcentage" xfId="1" builtinId="5"/>
    <cellStyle name="Titre 1" xfId="3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114299</xdr:rowOff>
    </xdr:from>
    <xdr:to>
      <xdr:col>15</xdr:col>
      <xdr:colOff>0</xdr:colOff>
      <xdr:row>2</xdr:row>
      <xdr:rowOff>95251</xdr:rowOff>
    </xdr:to>
    <xdr:sp macro="" textlink="">
      <xdr:nvSpPr>
        <xdr:cNvPr id="2" name="Titre" descr="Budget simple" title="Titre du modèle">
          <a:extLst>
            <a:ext uri="{FF2B5EF4-FFF2-40B4-BE49-F238E27FC236}">
              <a16:creationId xmlns:a16="http://schemas.microsoft.com/office/drawing/2014/main" id="{44FF564D-74DE-406C-859F-7E65AAF0336A}"/>
            </a:ext>
          </a:extLst>
        </xdr:cNvPr>
        <xdr:cNvSpPr txBox="1"/>
      </xdr:nvSpPr>
      <xdr:spPr>
        <a:xfrm>
          <a:off x="792480" y="845819"/>
          <a:ext cx="13167360" cy="346712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>
              <a:solidFill>
                <a:schemeClr val="bg1"/>
              </a:solidFill>
              <a:latin typeface="+mj-lt"/>
            </a:rPr>
            <a:t>Les charges d'investissement 2025</a:t>
          </a:r>
        </a:p>
      </xdr:txBody>
    </xdr:sp>
    <xdr:clientData/>
  </xdr:twoCellAnchor>
  <xdr:twoCellAnchor>
    <xdr:from>
      <xdr:col>10</xdr:col>
      <xdr:colOff>542924</xdr:colOff>
      <xdr:row>0</xdr:row>
      <xdr:rowOff>133350</xdr:rowOff>
    </xdr:from>
    <xdr:to>
      <xdr:col>11</xdr:col>
      <xdr:colOff>476249</xdr:colOff>
      <xdr:row>3</xdr:row>
      <xdr:rowOff>47625</xdr:rowOff>
    </xdr:to>
    <xdr:sp macro="" textlink="">
      <xdr:nvSpPr>
        <xdr:cNvPr id="3" name="Année budgétaire" descr="Année budgétaire (par exemple, 2014)." title="Année budgétaire">
          <a:extLst>
            <a:ext uri="{FF2B5EF4-FFF2-40B4-BE49-F238E27FC236}">
              <a16:creationId xmlns:a16="http://schemas.microsoft.com/office/drawing/2014/main" id="{798A1DE4-8022-40EF-B487-7EB39881EE1F}"/>
            </a:ext>
          </a:extLst>
        </xdr:cNvPr>
        <xdr:cNvSpPr/>
      </xdr:nvSpPr>
      <xdr:spPr>
        <a:xfrm>
          <a:off x="10502264" y="681990"/>
          <a:ext cx="725805" cy="653415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100" b="1">
              <a:solidFill>
                <a:srgbClr val="FFFF00"/>
              </a:solidFill>
              <a:latin typeface="+mj-lt"/>
            </a:rPr>
            <a:t> BUDGET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Frais-du-personnel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Proprete%20et%20nettoyage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Espace-vert-Collectifs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.Frais%20d'entretien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.Animation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.Divers%20et%20impr&#233;vus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9.Investissements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"/>
      <sheetName val="Janv"/>
      <sheetName val="Fév"/>
      <sheetName val="Mars"/>
      <sheetName val="Avril"/>
      <sheetName val="Mai"/>
      <sheetName val="Juin"/>
      <sheetName val="Juillet"/>
      <sheetName val="Août"/>
      <sheetName val="Sept"/>
      <sheetName val="Oct"/>
      <sheetName val="Nov"/>
      <sheetName val="Déc"/>
    </sheetNames>
    <sheetDataSet>
      <sheetData sheetId="0">
        <row r="22">
          <cell r="B22">
            <v>76716.841301399996</v>
          </cell>
          <cell r="C22">
            <v>76790.100108400002</v>
          </cell>
          <cell r="D22">
            <v>90911.07</v>
          </cell>
          <cell r="E22">
            <v>75112.990000000005</v>
          </cell>
          <cell r="F22">
            <v>74050.990000000005</v>
          </cell>
          <cell r="G22">
            <v>83717.990108400001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477299.98151820002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reté et Nettoyage"/>
    </sheetNames>
    <sheetDataSet>
      <sheetData sheetId="0">
        <row r="8">
          <cell r="B8">
            <v>500</v>
          </cell>
          <cell r="C8">
            <v>0</v>
          </cell>
          <cell r="D8">
            <v>397</v>
          </cell>
          <cell r="E8">
            <v>100</v>
          </cell>
          <cell r="F8">
            <v>8530</v>
          </cell>
          <cell r="G8">
            <v>386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9913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s"/>
      <sheetName val="4.Espace-vert-Collectifs 2025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is d'entretien"/>
    </sheetNames>
    <sheetDataSet>
      <sheetData sheetId="0">
        <row r="40">
          <cell r="B40">
            <v>1361.3</v>
          </cell>
          <cell r="C40">
            <v>1213.1399999999999</v>
          </cell>
          <cell r="D40">
            <v>2947.7799999999997</v>
          </cell>
          <cell r="E40">
            <v>4958.0999999999995</v>
          </cell>
          <cell r="F40">
            <v>53325.87</v>
          </cell>
          <cell r="G40">
            <v>50274.34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114080.53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imation"/>
    </sheetNames>
    <sheetDataSet>
      <sheetData sheetId="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109500</v>
          </cell>
          <cell r="G35">
            <v>6000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115500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enses Diverses"/>
    </sheetNames>
    <sheetDataSet>
      <sheetData sheetId="0">
        <row r="31">
          <cell r="B31">
            <v>827.1</v>
          </cell>
          <cell r="C31">
            <v>13739.03</v>
          </cell>
          <cell r="D31">
            <v>14373.869999999999</v>
          </cell>
          <cell r="E31">
            <v>1773.9</v>
          </cell>
          <cell r="F31">
            <v>1172.9000000000001</v>
          </cell>
          <cell r="G31">
            <v>1012.3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32899.1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Inv"/>
      <sheetName val="Détails"/>
      <sheetName val="Club du hameau"/>
      <sheetName val="Eclairage des voies publiques"/>
      <sheetName val="Rénov ponts"/>
      <sheetName val="Fontaine"/>
      <sheetName val="Rénov passages"/>
      <sheetName val="Matériels et outillage "/>
      <sheetName val="Equip pour le personnel"/>
      <sheetName val="Rénov parking"/>
      <sheetName val="Jardin du lac"/>
      <sheetName val="Rénovations des trottoirs"/>
      <sheetName val="Canal paysager"/>
      <sheetName val="Matériels de sécurité et vidéos"/>
      <sheetName val="Mobilier urbain"/>
      <sheetName val="Divers aménag&amp;Equip"/>
      <sheetName val="Mur de cloture"/>
      <sheetName val="Aménagement des nouveaux jardin"/>
      <sheetName val="Matériels de mobilité et transp"/>
    </sheetNames>
    <sheetDataSet>
      <sheetData sheetId="0">
        <row r="24">
          <cell r="H24">
            <v>982589</v>
          </cell>
        </row>
      </sheetData>
      <sheetData sheetId="1" refreshError="1"/>
      <sheetData sheetId="2">
        <row r="22">
          <cell r="B22">
            <v>326767</v>
          </cell>
          <cell r="C22">
            <v>96289</v>
          </cell>
          <cell r="D22">
            <v>259033</v>
          </cell>
          <cell r="E22">
            <v>24859</v>
          </cell>
          <cell r="F22">
            <v>71839</v>
          </cell>
          <cell r="G22">
            <v>29532.5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</sheetData>
      <sheetData sheetId="3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</sheetData>
      <sheetData sheetId="4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</sheetData>
      <sheetData sheetId="5"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</sheetData>
      <sheetData sheetId="6"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7">
        <row r="27">
          <cell r="B27">
            <v>0</v>
          </cell>
          <cell r="C27">
            <v>18500</v>
          </cell>
          <cell r="D27">
            <v>1620</v>
          </cell>
          <cell r="E27">
            <v>5016</v>
          </cell>
          <cell r="F27">
            <v>2020</v>
          </cell>
          <cell r="G27">
            <v>28660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</sheetData>
      <sheetData sheetId="8"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9"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10"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1">
        <row r="26">
          <cell r="B26">
            <v>11420</v>
          </cell>
          <cell r="C26">
            <v>10365</v>
          </cell>
          <cell r="D26">
            <v>0</v>
          </cell>
          <cell r="E26">
            <v>2160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12">
        <row r="45">
          <cell r="B45">
            <v>0</v>
          </cell>
          <cell r="C45">
            <v>400</v>
          </cell>
          <cell r="D45">
            <v>0</v>
          </cell>
          <cell r="E45">
            <v>0</v>
          </cell>
          <cell r="F45">
            <v>0</v>
          </cell>
          <cell r="G45">
            <v>6120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</sheetData>
      <sheetData sheetId="13">
        <row r="31">
          <cell r="B31">
            <v>0</v>
          </cell>
          <cell r="C31">
            <v>0</v>
          </cell>
          <cell r="D31">
            <v>3251.5</v>
          </cell>
          <cell r="E31">
            <v>16063.4</v>
          </cell>
          <cell r="F31">
            <v>3593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</sheetData>
      <sheetData sheetId="14"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15"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8300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</sheetData>
      <sheetData sheetId="16">
        <row r="25">
          <cell r="B25">
            <v>0</v>
          </cell>
          <cell r="C25">
            <v>0</v>
          </cell>
          <cell r="D25">
            <v>5450</v>
          </cell>
          <cell r="E25">
            <v>17900</v>
          </cell>
          <cell r="F25">
            <v>11513</v>
          </cell>
          <cell r="G25">
            <v>12250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</sheetData>
      <sheetData sheetId="17">
        <row r="86">
          <cell r="B86">
            <v>3050</v>
          </cell>
          <cell r="C86">
            <v>3284</v>
          </cell>
          <cell r="D86">
            <v>3333.6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</sheetData>
      <sheetData sheetId="18">
        <row r="22">
          <cell r="K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27"/>
  <sheetViews>
    <sheetView tabSelected="1" zoomScale="70" zoomScaleNormal="70" workbookViewId="0">
      <selection activeCell="B15" sqref="B15"/>
    </sheetView>
  </sheetViews>
  <sheetFormatPr baseColWidth="10" defaultRowHeight="14.4" x14ac:dyDescent="0.3"/>
  <cols>
    <col min="1" max="1" width="37.44140625" customWidth="1"/>
    <col min="2" max="2" width="19.5546875" style="1" customWidth="1"/>
    <col min="3" max="14" width="15.109375" customWidth="1"/>
    <col min="15" max="15" width="15.88671875" bestFit="1" customWidth="1"/>
    <col min="16" max="16" width="16" bestFit="1" customWidth="1"/>
    <col min="17" max="17" width="13.5546875" style="1" customWidth="1"/>
    <col min="18" max="18" width="12.44140625" bestFit="1" customWidth="1"/>
  </cols>
  <sheetData>
    <row r="3" spans="1:20" ht="18" x14ac:dyDescent="0.35">
      <c r="A3" s="42" t="s">
        <v>47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0" ht="18" x14ac:dyDescent="0.35">
      <c r="A4" s="42" t="s">
        <v>44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0" ht="15" thickBot="1" x14ac:dyDescent="0.35"/>
    <row r="6" spans="1:20" ht="16.2" thickBot="1" x14ac:dyDescent="0.35">
      <c r="C6" s="18" t="s">
        <v>13</v>
      </c>
      <c r="D6" s="18" t="s">
        <v>13</v>
      </c>
      <c r="E6" s="18" t="s">
        <v>13</v>
      </c>
      <c r="F6" s="18" t="s">
        <v>13</v>
      </c>
      <c r="G6" s="18" t="s">
        <v>13</v>
      </c>
      <c r="H6" s="18" t="s">
        <v>13</v>
      </c>
      <c r="I6" s="18" t="s">
        <v>13</v>
      </c>
      <c r="J6" s="18" t="s">
        <v>13</v>
      </c>
      <c r="K6" s="18" t="s">
        <v>13</v>
      </c>
      <c r="L6" s="18" t="s">
        <v>13</v>
      </c>
      <c r="M6" s="18" t="s">
        <v>13</v>
      </c>
      <c r="N6" s="18" t="s">
        <v>13</v>
      </c>
      <c r="R6" s="2"/>
    </row>
    <row r="7" spans="1:20" s="2" customFormat="1" ht="48" customHeight="1" thickBot="1" x14ac:dyDescent="0.35">
      <c r="A7" s="4" t="s">
        <v>0</v>
      </c>
      <c r="B7" s="5" t="s">
        <v>45</v>
      </c>
      <c r="C7" s="19" t="s">
        <v>14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22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6" t="s">
        <v>2</v>
      </c>
      <c r="P7" s="7" t="s">
        <v>1</v>
      </c>
      <c r="Q7" s="7" t="s">
        <v>3</v>
      </c>
      <c r="T7" s="15"/>
    </row>
    <row r="8" spans="1:20" ht="18" customHeight="1" x14ac:dyDescent="0.3">
      <c r="A8" s="9" t="s">
        <v>11</v>
      </c>
      <c r="B8" s="11">
        <v>960000</v>
      </c>
      <c r="C8" s="10">
        <f>[1]Récap!B22</f>
        <v>76716.841301399996</v>
      </c>
      <c r="D8" s="10">
        <f>[1]Récap!C22</f>
        <v>76790.100108400002</v>
      </c>
      <c r="E8" s="10">
        <f>[1]Récap!D22</f>
        <v>90911.07</v>
      </c>
      <c r="F8" s="10">
        <f>[1]Récap!E22</f>
        <v>75112.990000000005</v>
      </c>
      <c r="G8" s="10">
        <f>[1]Récap!F22</f>
        <v>74050.990000000005</v>
      </c>
      <c r="H8" s="10">
        <f>[1]Récap!G22</f>
        <v>83717.990108400001</v>
      </c>
      <c r="I8" s="10">
        <f>[1]Récap!H22</f>
        <v>0</v>
      </c>
      <c r="J8" s="10">
        <f>[1]Récap!I22</f>
        <v>0</v>
      </c>
      <c r="K8" s="10">
        <f>[1]Récap!J22</f>
        <v>0</v>
      </c>
      <c r="L8" s="10">
        <f>[1]Récap!K22</f>
        <v>0</v>
      </c>
      <c r="M8" s="10">
        <f>[1]Récap!L22</f>
        <v>0</v>
      </c>
      <c r="N8" s="10">
        <f>[1]Récap!M22</f>
        <v>0</v>
      </c>
      <c r="O8" s="9">
        <f>SUM(C8:N8)</f>
        <v>477299.98151820002</v>
      </c>
      <c r="P8" s="9">
        <f>B8-O8</f>
        <v>482700.01848179998</v>
      </c>
      <c r="Q8" s="13">
        <f>O8/B8%</f>
        <v>49.718748074812503</v>
      </c>
      <c r="R8" s="1">
        <f>O8-[1]Récap!$N$22</f>
        <v>0</v>
      </c>
    </row>
    <row r="9" spans="1:20" ht="15.6" x14ac:dyDescent="0.3">
      <c r="A9" s="11" t="s">
        <v>12</v>
      </c>
      <c r="B9" s="11">
        <v>15000</v>
      </c>
      <c r="C9" s="3">
        <f>'[2]Propreté et Nettoyage'!B8</f>
        <v>500</v>
      </c>
      <c r="D9" s="3">
        <f>'[2]Propreté et Nettoyage'!C8</f>
        <v>0</v>
      </c>
      <c r="E9" s="3">
        <f>'[2]Propreté et Nettoyage'!D8</f>
        <v>397</v>
      </c>
      <c r="F9" s="3">
        <f>'[2]Propreté et Nettoyage'!E8</f>
        <v>100</v>
      </c>
      <c r="G9" s="3">
        <f>'[2]Propreté et Nettoyage'!F8</f>
        <v>8530</v>
      </c>
      <c r="H9" s="3">
        <f>'[2]Propreté et Nettoyage'!G8</f>
        <v>386</v>
      </c>
      <c r="I9" s="3">
        <f>'[2]Propreté et Nettoyage'!H8</f>
        <v>0</v>
      </c>
      <c r="J9" s="3">
        <f>'[2]Propreté et Nettoyage'!I8</f>
        <v>0</v>
      </c>
      <c r="K9" s="3">
        <f>'[2]Propreté et Nettoyage'!J8</f>
        <v>0</v>
      </c>
      <c r="L9" s="3">
        <f>'[2]Propreté et Nettoyage'!K8</f>
        <v>0</v>
      </c>
      <c r="M9" s="3">
        <f>'[2]Propreté et Nettoyage'!L8</f>
        <v>0</v>
      </c>
      <c r="N9" s="3">
        <f>'[2]Propreté et Nettoyage'!M8</f>
        <v>0</v>
      </c>
      <c r="O9" s="11">
        <f>SUM(C9:N9)</f>
        <v>9913</v>
      </c>
      <c r="P9" s="11">
        <f t="shared" ref="P9:P14" si="0">B9-O9</f>
        <v>5087</v>
      </c>
      <c r="Q9" s="14">
        <f t="shared" ref="Q9:Q14" si="1">O9/B9%</f>
        <v>66.086666666666673</v>
      </c>
      <c r="R9" s="1">
        <f>O9-'[2]Propreté et Nettoyage'!$N$8</f>
        <v>0</v>
      </c>
      <c r="S9" s="1"/>
    </row>
    <row r="10" spans="1:20" ht="15.6" x14ac:dyDescent="0.3">
      <c r="A10" s="11" t="s">
        <v>43</v>
      </c>
      <c r="B10" s="11">
        <v>75000</v>
      </c>
      <c r="C10" s="3">
        <f>[3]!EVC_3[[#Totals],[Janvier]]</f>
        <v>9281.5300000000007</v>
      </c>
      <c r="D10" s="3">
        <f>[3]!EVC_3[[#Totals],[Février]]</f>
        <v>120</v>
      </c>
      <c r="E10" s="3">
        <f>[3]!EVC_3[[#Totals],[Mars]]</f>
        <v>70</v>
      </c>
      <c r="F10" s="3">
        <f>[3]!EVC_3[[#Totals],[Avril]]</f>
        <v>3057.32</v>
      </c>
      <c r="G10" s="3">
        <f>[3]!EVC_3[[#Totals],[Mai]]</f>
        <v>3792</v>
      </c>
      <c r="H10" s="3">
        <f>[3]!EVC_3[[#Totals],[Juin]]</f>
        <v>7826.53</v>
      </c>
      <c r="I10" s="3">
        <f>[3]!EVC_3[[#Totals],[Juillet]]</f>
        <v>0</v>
      </c>
      <c r="J10" s="3">
        <f>[3]!EVC_3[[#Totals],[Août]]</f>
        <v>0</v>
      </c>
      <c r="K10" s="3">
        <f>[3]!EVC_3[[#Totals],[Septembre]]</f>
        <v>0</v>
      </c>
      <c r="L10" s="3">
        <f>[3]!EVC_3[[#Totals],[Octobre]]</f>
        <v>0</v>
      </c>
      <c r="M10" s="3">
        <f>[3]!EVC_3[[#Totals],[Novembre]]</f>
        <v>0</v>
      </c>
      <c r="N10" s="3">
        <f>[3]!EVC_3[[#Totals],[Décembre]]</f>
        <v>0</v>
      </c>
      <c r="O10" s="11">
        <f>SUM(C10:N10)</f>
        <v>24147.38</v>
      </c>
      <c r="P10" s="11">
        <f t="shared" si="0"/>
        <v>50852.619999999995</v>
      </c>
      <c r="Q10" s="14">
        <f t="shared" si="1"/>
        <v>32.196506666666671</v>
      </c>
      <c r="R10" s="1">
        <f>O10-[3]!EVC_3[[#Totals],[Total]]</f>
        <v>0</v>
      </c>
    </row>
    <row r="11" spans="1:20" ht="15.6" x14ac:dyDescent="0.3">
      <c r="A11" s="11" t="s">
        <v>4</v>
      </c>
      <c r="B11" s="11">
        <v>30000</v>
      </c>
      <c r="C11" s="3">
        <v>0</v>
      </c>
      <c r="D11" s="3">
        <v>0</v>
      </c>
      <c r="E11" s="3">
        <v>0</v>
      </c>
      <c r="F11" s="3">
        <v>3500</v>
      </c>
      <c r="G11" s="3">
        <v>0</v>
      </c>
      <c r="H11" s="3">
        <v>7450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11">
        <f>SUM(C11:N11)</f>
        <v>10950</v>
      </c>
      <c r="P11" s="11">
        <f t="shared" si="0"/>
        <v>19050</v>
      </c>
      <c r="Q11" s="14">
        <f t="shared" si="1"/>
        <v>36.5</v>
      </c>
      <c r="R11" s="1">
        <v>0</v>
      </c>
    </row>
    <row r="12" spans="1:20" ht="15.6" x14ac:dyDescent="0.3">
      <c r="A12" s="11" t="s">
        <v>42</v>
      </c>
      <c r="B12" s="11">
        <v>57000</v>
      </c>
      <c r="C12" s="3">
        <f>'[4]frais d''entretien'!B40</f>
        <v>1361.3</v>
      </c>
      <c r="D12" s="3">
        <f>'[4]frais d''entretien'!C40</f>
        <v>1213.1399999999999</v>
      </c>
      <c r="E12" s="3">
        <f>'[4]frais d''entretien'!D40</f>
        <v>2947.7799999999997</v>
      </c>
      <c r="F12" s="3">
        <f>'[4]frais d''entretien'!E40</f>
        <v>4958.0999999999995</v>
      </c>
      <c r="G12" s="3">
        <f>'[4]frais d''entretien'!F40</f>
        <v>53325.87</v>
      </c>
      <c r="H12" s="3">
        <f>'[4]frais d''entretien'!G40</f>
        <v>50274.34</v>
      </c>
      <c r="I12" s="3">
        <f>'[4]frais d''entretien'!H40</f>
        <v>0</v>
      </c>
      <c r="J12" s="3">
        <f>'[4]frais d''entretien'!I40</f>
        <v>0</v>
      </c>
      <c r="K12" s="3">
        <f>'[4]frais d''entretien'!J40</f>
        <v>0</v>
      </c>
      <c r="L12" s="3">
        <f>'[4]frais d''entretien'!K40</f>
        <v>0</v>
      </c>
      <c r="M12" s="3">
        <f>'[4]frais d''entretien'!L40</f>
        <v>0</v>
      </c>
      <c r="N12" s="3">
        <f>'[4]frais d''entretien'!M40</f>
        <v>0</v>
      </c>
      <c r="O12" s="11">
        <f t="shared" ref="O12:O13" si="2">SUM(C12:N12)</f>
        <v>114080.53</v>
      </c>
      <c r="P12" s="11">
        <f t="shared" si="0"/>
        <v>-57080.53</v>
      </c>
      <c r="Q12" s="14">
        <f t="shared" si="1"/>
        <v>200.1412807017544</v>
      </c>
      <c r="R12" s="1">
        <f>O12-'[4]frais d''entretien'!$N$40</f>
        <v>0</v>
      </c>
    </row>
    <row r="13" spans="1:20" ht="15.6" x14ac:dyDescent="0.3">
      <c r="A13" s="11" t="s">
        <v>5</v>
      </c>
      <c r="B13" s="11">
        <v>200000</v>
      </c>
      <c r="C13" s="3">
        <f>[5]Animation!B35</f>
        <v>0</v>
      </c>
      <c r="D13" s="3">
        <f>[5]Animation!C35</f>
        <v>0</v>
      </c>
      <c r="E13" s="3">
        <f>[5]Animation!D35</f>
        <v>0</v>
      </c>
      <c r="F13" s="3">
        <f>[5]Animation!E35</f>
        <v>0</v>
      </c>
      <c r="G13" s="3">
        <f>[5]Animation!F35</f>
        <v>109500</v>
      </c>
      <c r="H13" s="3">
        <f>[5]Animation!G35</f>
        <v>6000</v>
      </c>
      <c r="I13" s="3">
        <f>[5]Animation!H35</f>
        <v>0</v>
      </c>
      <c r="J13" s="3">
        <f>[5]Animation!I35</f>
        <v>0</v>
      </c>
      <c r="K13" s="3">
        <f>[5]Animation!J35</f>
        <v>0</v>
      </c>
      <c r="L13" s="3">
        <f>[5]Animation!K35</f>
        <v>0</v>
      </c>
      <c r="M13" s="3">
        <f>[5]Animation!L35</f>
        <v>0</v>
      </c>
      <c r="N13" s="3">
        <f>[5]Animation!M35</f>
        <v>0</v>
      </c>
      <c r="O13" s="11">
        <f t="shared" si="2"/>
        <v>115500</v>
      </c>
      <c r="P13" s="11">
        <f t="shared" si="0"/>
        <v>84500</v>
      </c>
      <c r="Q13" s="14">
        <f t="shared" si="1"/>
        <v>57.75</v>
      </c>
      <c r="R13" s="1">
        <f>O13-[5]Animation!$N$35</f>
        <v>0</v>
      </c>
    </row>
    <row r="14" spans="1:20" ht="16.2" thickBot="1" x14ac:dyDescent="0.35">
      <c r="A14" s="12" t="s">
        <v>6</v>
      </c>
      <c r="B14" s="12">
        <v>160500</v>
      </c>
      <c r="C14" s="3">
        <f>'[6]Dépenses Diverses'!B31</f>
        <v>827.1</v>
      </c>
      <c r="D14" s="3">
        <f>'[6]Dépenses Diverses'!C31</f>
        <v>13739.03</v>
      </c>
      <c r="E14" s="3">
        <f>'[6]Dépenses Diverses'!D31</f>
        <v>14373.869999999999</v>
      </c>
      <c r="F14" s="3">
        <f>'[6]Dépenses Diverses'!E31</f>
        <v>1773.9</v>
      </c>
      <c r="G14" s="3">
        <f>'[6]Dépenses Diverses'!F31</f>
        <v>1172.9000000000001</v>
      </c>
      <c r="H14" s="3">
        <f>'[6]Dépenses Diverses'!G31</f>
        <v>1012.3</v>
      </c>
      <c r="I14" s="3">
        <f>'[6]Dépenses Diverses'!H31</f>
        <v>0</v>
      </c>
      <c r="J14" s="3">
        <f>'[6]Dépenses Diverses'!I31</f>
        <v>0</v>
      </c>
      <c r="K14" s="3">
        <f>'[6]Dépenses Diverses'!J31</f>
        <v>0</v>
      </c>
      <c r="L14" s="3">
        <f>'[6]Dépenses Diverses'!K31</f>
        <v>0</v>
      </c>
      <c r="M14" s="3">
        <f>'[6]Dépenses Diverses'!L31</f>
        <v>0</v>
      </c>
      <c r="N14" s="3">
        <f>'[6]Dépenses Diverses'!M31</f>
        <v>0</v>
      </c>
      <c r="O14" s="11">
        <f>SUM(C14:N14)</f>
        <v>32899.100000000006</v>
      </c>
      <c r="P14" s="11">
        <f t="shared" si="0"/>
        <v>127600.9</v>
      </c>
      <c r="Q14" s="14">
        <f t="shared" si="1"/>
        <v>20.497881619937697</v>
      </c>
      <c r="R14" s="1">
        <f>O14-'[6]Dépenses Diverses'!$N$31</f>
        <v>0</v>
      </c>
    </row>
    <row r="15" spans="1:20" ht="27" customHeight="1" thickBot="1" x14ac:dyDescent="0.4">
      <c r="A15" s="8"/>
      <c r="B15" s="20">
        <f t="shared" ref="B15:N15" si="3">SUM(B8:B14)</f>
        <v>1497500</v>
      </c>
      <c r="C15" s="20">
        <f t="shared" si="3"/>
        <v>88686.771301400004</v>
      </c>
      <c r="D15" s="20">
        <f t="shared" si="3"/>
        <v>91862.2701084</v>
      </c>
      <c r="E15" s="20">
        <f t="shared" si="3"/>
        <v>108699.72</v>
      </c>
      <c r="F15" s="20">
        <f t="shared" si="3"/>
        <v>88502.310000000012</v>
      </c>
      <c r="G15" s="20">
        <f t="shared" si="3"/>
        <v>250371.76</v>
      </c>
      <c r="H15" s="20">
        <f t="shared" si="3"/>
        <v>156667.16010839998</v>
      </c>
      <c r="I15" s="20">
        <f t="shared" si="3"/>
        <v>0</v>
      </c>
      <c r="J15" s="20">
        <f t="shared" si="3"/>
        <v>0</v>
      </c>
      <c r="K15" s="20">
        <f t="shared" si="3"/>
        <v>0</v>
      </c>
      <c r="L15" s="20">
        <f t="shared" si="3"/>
        <v>0</v>
      </c>
      <c r="M15" s="20">
        <f t="shared" si="3"/>
        <v>0</v>
      </c>
      <c r="N15" s="20">
        <f t="shared" si="3"/>
        <v>0</v>
      </c>
      <c r="O15" s="20">
        <f>SUM(O8:O14)</f>
        <v>784789.99151820003</v>
      </c>
      <c r="P15" s="20">
        <f>SUM(P8:P14)</f>
        <v>712710.00848179997</v>
      </c>
      <c r="Q15" s="21">
        <f>O15/B15</f>
        <v>0.52406677229929888</v>
      </c>
    </row>
    <row r="16" spans="1:20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3:17" x14ac:dyDescent="0.3">
      <c r="F17" s="1"/>
    </row>
    <row r="18" spans="3:17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7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3:17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2"/>
      <c r="O20" s="1"/>
      <c r="Q20"/>
    </row>
    <row r="21" spans="3:17" x14ac:dyDescent="0.3">
      <c r="C21" s="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"/>
      <c r="Q21"/>
    </row>
    <row r="22" spans="3:17" x14ac:dyDescent="0.3">
      <c r="C22" s="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"/>
      <c r="Q22"/>
    </row>
    <row r="23" spans="3:17" x14ac:dyDescent="0.3">
      <c r="C23" s="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"/>
      <c r="Q23"/>
    </row>
    <row r="24" spans="3:17" x14ac:dyDescent="0.3">
      <c r="C24" s="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7" x14ac:dyDescent="0.3">
      <c r="C25" s="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3:17" x14ac:dyDescent="0.3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3:17" x14ac:dyDescent="0.3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</sheetData>
  <mergeCells count="2">
    <mergeCell ref="A3:Q3"/>
    <mergeCell ref="A4:Q4"/>
  </mergeCells>
  <phoneticPr fontId="3" type="noConversion"/>
  <printOptions horizontalCentered="1"/>
  <pageMargins left="0" right="0" top="0.74803149606299213" bottom="0.74803149606299213" header="0.31496062992125984" footer="0.31496062992125984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opLeftCell="A2" zoomScale="85" zoomScaleNormal="85" workbookViewId="0">
      <selection activeCell="F26" sqref="F26"/>
    </sheetView>
  </sheetViews>
  <sheetFormatPr baseColWidth="10" defaultRowHeight="14.4" x14ac:dyDescent="0.3"/>
  <cols>
    <col min="1" max="1" width="15.109375" style="17" customWidth="1"/>
    <col min="2" max="2" width="35.6640625" style="17" bestFit="1" customWidth="1"/>
    <col min="3" max="3" width="13.33203125" style="17" customWidth="1"/>
    <col min="4" max="4" width="16.5546875" style="17" customWidth="1"/>
    <col min="5" max="5" width="11.6640625" style="17" bestFit="1" customWidth="1"/>
    <col min="6" max="6" width="13.88671875" style="17" customWidth="1"/>
    <col min="15" max="15" width="14.5546875" bestFit="1" customWidth="1"/>
    <col min="16" max="16" width="14.109375" bestFit="1" customWidth="1"/>
  </cols>
  <sheetData>
    <row r="1" spans="1:15" x14ac:dyDescent="0.3">
      <c r="A1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15" customHeight="1" x14ac:dyDescent="0.3">
      <c r="A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15" customHeight="1" thickBot="1" x14ac:dyDescent="0.35">
      <c r="A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5" ht="15" customHeight="1" thickBot="1" x14ac:dyDescent="0.35">
      <c r="A4"/>
      <c r="B4" s="23"/>
      <c r="C4" s="43" t="s">
        <v>13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5" ht="15" customHeight="1" thickBot="1" x14ac:dyDescent="0.35">
      <c r="A5"/>
      <c r="B5" s="24"/>
      <c r="C5" s="25" t="s">
        <v>23</v>
      </c>
      <c r="D5" s="25" t="s">
        <v>7</v>
      </c>
      <c r="E5" s="25" t="s">
        <v>8</v>
      </c>
      <c r="F5" s="25" t="s">
        <v>9</v>
      </c>
      <c r="G5" s="25" t="s">
        <v>10</v>
      </c>
      <c r="H5" s="25" t="s">
        <v>24</v>
      </c>
      <c r="I5" s="25" t="s">
        <v>15</v>
      </c>
      <c r="J5" s="25" t="s">
        <v>16</v>
      </c>
      <c r="K5" s="25" t="s">
        <v>17</v>
      </c>
      <c r="L5" s="25" t="s">
        <v>18</v>
      </c>
      <c r="M5" s="25" t="s">
        <v>19</v>
      </c>
      <c r="N5" s="25" t="s">
        <v>20</v>
      </c>
      <c r="O5" s="26" t="s">
        <v>2</v>
      </c>
    </row>
    <row r="6" spans="1:15" ht="15" customHeight="1" thickTop="1" thickBot="1" x14ac:dyDescent="0.35">
      <c r="A6"/>
      <c r="B6" s="27" t="s">
        <v>25</v>
      </c>
      <c r="C6" s="28">
        <f>'[7]Club du hameau'!B22</f>
        <v>326767</v>
      </c>
      <c r="D6" s="29">
        <f>'[7]Club du hameau'!C22</f>
        <v>96289</v>
      </c>
      <c r="E6" s="29">
        <f>'[7]Club du hameau'!D22</f>
        <v>259033</v>
      </c>
      <c r="F6" s="29">
        <f>'[7]Club du hameau'!E22</f>
        <v>24859</v>
      </c>
      <c r="G6" s="29">
        <f>'[7]Club du hameau'!F22</f>
        <v>71839</v>
      </c>
      <c r="H6" s="29">
        <f>'[7]Club du hameau'!G22</f>
        <v>29532.5</v>
      </c>
      <c r="I6" s="29">
        <f>'[7]Club du hameau'!H22</f>
        <v>0</v>
      </c>
      <c r="J6" s="29">
        <f>'[7]Club du hameau'!I22</f>
        <v>0</v>
      </c>
      <c r="K6" s="29">
        <f>'[7]Club du hameau'!J22</f>
        <v>0</v>
      </c>
      <c r="L6" s="29">
        <f>'[7]Club du hameau'!K22</f>
        <v>0</v>
      </c>
      <c r="M6" s="29">
        <f>'[7]Club du hameau'!L22</f>
        <v>0</v>
      </c>
      <c r="N6" s="29">
        <f>'[7]Club du hameau'!M22</f>
        <v>0</v>
      </c>
      <c r="O6" s="30">
        <f>SUM(C6:N6)</f>
        <v>808319.5</v>
      </c>
    </row>
    <row r="7" spans="1:15" s="16" customFormat="1" ht="15.6" thickTop="1" thickBot="1" x14ac:dyDescent="0.35">
      <c r="A7"/>
      <c r="B7" s="27" t="s">
        <v>26</v>
      </c>
      <c r="C7" s="32">
        <f>'[7]Rénov ponts'!B26</f>
        <v>0</v>
      </c>
      <c r="D7" s="32">
        <f>'[7]Rénov ponts'!C26</f>
        <v>0</v>
      </c>
      <c r="E7" s="32">
        <f>'[7]Rénov ponts'!D26</f>
        <v>0</v>
      </c>
      <c r="F7" s="32">
        <f>'[7]Rénov ponts'!E26</f>
        <v>0</v>
      </c>
      <c r="G7" s="32">
        <f>'[7]Rénov ponts'!F26</f>
        <v>0</v>
      </c>
      <c r="H7" s="32">
        <f>'[7]Rénov ponts'!G26</f>
        <v>0</v>
      </c>
      <c r="I7" s="32">
        <f>'[7]Rénov ponts'!H26</f>
        <v>0</v>
      </c>
      <c r="J7" s="32">
        <f>'[7]Rénov ponts'!I26</f>
        <v>0</v>
      </c>
      <c r="K7" s="32">
        <f>'[7]Rénov ponts'!J26</f>
        <v>0</v>
      </c>
      <c r="L7" s="32">
        <f>'[7]Rénov ponts'!K26</f>
        <v>0</v>
      </c>
      <c r="M7" s="32">
        <f>'[7]Rénov ponts'!L26</f>
        <v>0</v>
      </c>
      <c r="N7" s="32">
        <f>'[7]Rénov ponts'!M26</f>
        <v>0</v>
      </c>
      <c r="O7" s="33">
        <f>SUM(C7:N7)</f>
        <v>0</v>
      </c>
    </row>
    <row r="8" spans="1:15" s="16" customFormat="1" ht="15.6" thickTop="1" thickBot="1" x14ac:dyDescent="0.35">
      <c r="A8"/>
      <c r="B8" s="27" t="s">
        <v>27</v>
      </c>
      <c r="C8" s="31">
        <f>'[7]Rénovations des trottoirs'!B26</f>
        <v>11420</v>
      </c>
      <c r="D8" s="32">
        <f>'[7]Rénovations des trottoirs'!C26</f>
        <v>10365</v>
      </c>
      <c r="E8" s="32">
        <f>'[7]Rénovations des trottoirs'!D26</f>
        <v>0</v>
      </c>
      <c r="F8" s="32">
        <f>'[7]Rénovations des trottoirs'!E26</f>
        <v>2160</v>
      </c>
      <c r="G8" s="32">
        <f>'[7]Rénovations des trottoirs'!F26</f>
        <v>0</v>
      </c>
      <c r="H8" s="32">
        <f>'[7]Rénovations des trottoirs'!G26</f>
        <v>0</v>
      </c>
      <c r="I8" s="32">
        <f>'[7]Rénovations des trottoirs'!H26</f>
        <v>0</v>
      </c>
      <c r="J8" s="32">
        <f>'[7]Rénovations des trottoirs'!I26</f>
        <v>0</v>
      </c>
      <c r="K8" s="32">
        <f>'[7]Rénovations des trottoirs'!J26</f>
        <v>0</v>
      </c>
      <c r="L8" s="32">
        <f>'[7]Rénovations des trottoirs'!K26</f>
        <v>0</v>
      </c>
      <c r="M8" s="32">
        <f>'[7]Rénovations des trottoirs'!L26</f>
        <v>0</v>
      </c>
      <c r="N8" s="32">
        <f>'[7]Rénovations des trottoirs'!M26</f>
        <v>0</v>
      </c>
      <c r="O8" s="33">
        <f t="shared" ref="O8:O19" si="0">SUM(C8:N8)</f>
        <v>23945</v>
      </c>
    </row>
    <row r="9" spans="1:15" ht="15.6" thickTop="1" thickBot="1" x14ac:dyDescent="0.35">
      <c r="A9"/>
      <c r="B9" s="27" t="s">
        <v>28</v>
      </c>
      <c r="C9" s="31">
        <f>'[7]Mobilier urbain'!B21</f>
        <v>0</v>
      </c>
      <c r="D9" s="32">
        <f>'[7]Mobilier urbain'!C21</f>
        <v>0</v>
      </c>
      <c r="E9" s="32">
        <f>'[7]Mobilier urbain'!D21</f>
        <v>0</v>
      </c>
      <c r="F9" s="32">
        <f>'[7]Mobilier urbain'!E21</f>
        <v>0</v>
      </c>
      <c r="G9" s="32">
        <f>'[7]Mobilier urbain'!F21</f>
        <v>0</v>
      </c>
      <c r="H9" s="32">
        <f>'[7]Mobilier urbain'!G21</f>
        <v>0</v>
      </c>
      <c r="I9" s="32">
        <f>'[7]Mobilier urbain'!H21</f>
        <v>0</v>
      </c>
      <c r="J9" s="32">
        <f>'[7]Mobilier urbain'!I21</f>
        <v>0</v>
      </c>
      <c r="K9" s="32">
        <f>'[7]Mobilier urbain'!J21</f>
        <v>0</v>
      </c>
      <c r="L9" s="32">
        <f>'[7]Mobilier urbain'!K21</f>
        <v>0</v>
      </c>
      <c r="M9" s="32">
        <f>'[7]Mobilier urbain'!L21</f>
        <v>0</v>
      </c>
      <c r="N9" s="32">
        <f>'[7]Mobilier urbain'!M21</f>
        <v>0</v>
      </c>
      <c r="O9" s="33">
        <f t="shared" si="0"/>
        <v>0</v>
      </c>
    </row>
    <row r="10" spans="1:15" ht="15.6" thickTop="1" thickBot="1" x14ac:dyDescent="0.35">
      <c r="A10"/>
      <c r="B10" s="27" t="s">
        <v>29</v>
      </c>
      <c r="C10" s="31">
        <f>'[7]Divers aménag&amp;Equip'!B32</f>
        <v>0</v>
      </c>
      <c r="D10" s="32">
        <f>'[7]Divers aménag&amp;Equip'!C32</f>
        <v>0</v>
      </c>
      <c r="E10" s="32">
        <f>'[7]Divers aménag&amp;Equip'!D32</f>
        <v>0</v>
      </c>
      <c r="F10" s="32">
        <f>'[7]Divers aménag&amp;Equip'!E32</f>
        <v>0</v>
      </c>
      <c r="G10" s="32">
        <f>'[7]Divers aménag&amp;Equip'!F32</f>
        <v>0</v>
      </c>
      <c r="H10" s="32">
        <f>'[7]Divers aménag&amp;Equip'!G32</f>
        <v>8300</v>
      </c>
      <c r="I10" s="32">
        <f>'[7]Divers aménag&amp;Equip'!H32</f>
        <v>0</v>
      </c>
      <c r="J10" s="32">
        <f>'[7]Divers aménag&amp;Equip'!I32</f>
        <v>0</v>
      </c>
      <c r="K10" s="32">
        <f>'[7]Divers aménag&amp;Equip'!J32</f>
        <v>0</v>
      </c>
      <c r="L10" s="32">
        <f>'[7]Divers aménag&amp;Equip'!K32</f>
        <v>0</v>
      </c>
      <c r="M10" s="32">
        <f>'[7]Divers aménag&amp;Equip'!L32</f>
        <v>0</v>
      </c>
      <c r="N10" s="32">
        <f>'[7]Divers aménag&amp;Equip'!M32</f>
        <v>0</v>
      </c>
      <c r="O10" s="33">
        <f t="shared" si="0"/>
        <v>8300</v>
      </c>
    </row>
    <row r="11" spans="1:15" ht="15.6" thickTop="1" thickBot="1" x14ac:dyDescent="0.35">
      <c r="A11"/>
      <c r="B11" s="27" t="s">
        <v>30</v>
      </c>
      <c r="C11" s="31">
        <f>'[7]Matériels de sécurité et vidéos'!B31</f>
        <v>0</v>
      </c>
      <c r="D11" s="32">
        <f>'[7]Matériels de sécurité et vidéos'!C31</f>
        <v>0</v>
      </c>
      <c r="E11" s="32">
        <f>'[7]Matériels de sécurité et vidéos'!D31</f>
        <v>3251.5</v>
      </c>
      <c r="F11" s="32">
        <f>'[7]Matériels de sécurité et vidéos'!E31</f>
        <v>16063.4</v>
      </c>
      <c r="G11" s="32">
        <f>'[7]Matériels de sécurité et vidéos'!F31</f>
        <v>3593</v>
      </c>
      <c r="H11" s="32">
        <f>'[7]Matériels de sécurité et vidéos'!G31</f>
        <v>0</v>
      </c>
      <c r="I11" s="32">
        <f>'[7]Matériels de sécurité et vidéos'!H31</f>
        <v>0</v>
      </c>
      <c r="J11" s="32">
        <f>'[7]Matériels de sécurité et vidéos'!I31</f>
        <v>0</v>
      </c>
      <c r="K11" s="32">
        <f>'[7]Matériels de sécurité et vidéos'!J31</f>
        <v>0</v>
      </c>
      <c r="L11" s="32">
        <f>'[7]Matériels de sécurité et vidéos'!K31</f>
        <v>0</v>
      </c>
      <c r="M11" s="32">
        <f>'[7]Matériels de sécurité et vidéos'!L31</f>
        <v>0</v>
      </c>
      <c r="N11" s="32">
        <f>'[7]Matériels de sécurité et vidéos'!M31</f>
        <v>0</v>
      </c>
      <c r="O11" s="33">
        <f t="shared" si="0"/>
        <v>22907.9</v>
      </c>
    </row>
    <row r="12" spans="1:15" ht="15.6" thickTop="1" thickBot="1" x14ac:dyDescent="0.35">
      <c r="A12"/>
      <c r="B12" s="27" t="s">
        <v>31</v>
      </c>
      <c r="C12" s="32">
        <f>+'[7]Matériels de mobilité et transp'!$K$22</f>
        <v>0</v>
      </c>
      <c r="D12" s="32">
        <f>+'[7]Matériels de mobilité et transp'!$K$22</f>
        <v>0</v>
      </c>
      <c r="E12" s="32">
        <f>+'[7]Matériels de mobilité et transp'!$K$22</f>
        <v>0</v>
      </c>
      <c r="F12" s="32">
        <f>+'[7]Matériels de mobilité et transp'!$K$22</f>
        <v>0</v>
      </c>
      <c r="G12" s="32">
        <f>+'[7]Matériels de mobilité et transp'!$K$22</f>
        <v>0</v>
      </c>
      <c r="H12" s="32">
        <f>+'[7]Matériels de mobilité et transp'!$K$22</f>
        <v>0</v>
      </c>
      <c r="I12" s="32">
        <f>+'[7]Matériels de mobilité et transp'!$K$22</f>
        <v>0</v>
      </c>
      <c r="J12" s="32">
        <f>+'[7]Matériels de mobilité et transp'!$K$22</f>
        <v>0</v>
      </c>
      <c r="K12" s="32">
        <f>+'[7]Matériels de mobilité et transp'!$K$22</f>
        <v>0</v>
      </c>
      <c r="L12" s="32">
        <f>+'[7]Matériels de mobilité et transp'!$K$22</f>
        <v>0</v>
      </c>
      <c r="M12" s="32">
        <f>+'[7]Matériels de mobilité et transp'!$K$22</f>
        <v>0</v>
      </c>
      <c r="N12" s="32">
        <f>+'[7]Matériels de mobilité et transp'!$K$22</f>
        <v>0</v>
      </c>
      <c r="O12" s="33">
        <f t="shared" si="0"/>
        <v>0</v>
      </c>
    </row>
    <row r="13" spans="1:15" ht="15.6" thickTop="1" thickBot="1" x14ac:dyDescent="0.35">
      <c r="A13"/>
      <c r="B13" s="27" t="s">
        <v>32</v>
      </c>
      <c r="C13" s="31">
        <f>'[7]Equip pour le personnel'!B18</f>
        <v>0</v>
      </c>
      <c r="D13" s="32">
        <f>'[7]Equip pour le personnel'!C18</f>
        <v>0</v>
      </c>
      <c r="E13" s="32">
        <f>'[7]Equip pour le personnel'!D18</f>
        <v>0</v>
      </c>
      <c r="F13" s="32">
        <f>'[7]Equip pour le personnel'!E18</f>
        <v>0</v>
      </c>
      <c r="G13" s="32">
        <f>'[7]Equip pour le personnel'!F18</f>
        <v>0</v>
      </c>
      <c r="H13" s="32">
        <f>'[7]Equip pour le personnel'!G18</f>
        <v>0</v>
      </c>
      <c r="I13" s="32">
        <f>'[7]Equip pour le personnel'!H18</f>
        <v>0</v>
      </c>
      <c r="J13" s="32">
        <f>'[7]Equip pour le personnel'!I18</f>
        <v>0</v>
      </c>
      <c r="K13" s="32">
        <f>'[7]Equip pour le personnel'!J18</f>
        <v>0</v>
      </c>
      <c r="L13" s="32">
        <f>'[7]Equip pour le personnel'!K18</f>
        <v>0</v>
      </c>
      <c r="M13" s="32">
        <f>'[7]Equip pour le personnel'!L18</f>
        <v>0</v>
      </c>
      <c r="N13" s="32">
        <f>'[7]Equip pour le personnel'!M18</f>
        <v>0</v>
      </c>
      <c r="O13" s="33">
        <f t="shared" si="0"/>
        <v>0</v>
      </c>
    </row>
    <row r="14" spans="1:15" ht="15.6" thickTop="1" thickBot="1" x14ac:dyDescent="0.35">
      <c r="A14"/>
      <c r="B14" s="27" t="s">
        <v>33</v>
      </c>
      <c r="C14" s="31">
        <f>[7]Fontaine!B19</f>
        <v>0</v>
      </c>
      <c r="D14" s="32">
        <f>[7]Fontaine!C19</f>
        <v>0</v>
      </c>
      <c r="E14" s="32">
        <f>[7]Fontaine!D19</f>
        <v>0</v>
      </c>
      <c r="F14" s="32">
        <f>[7]Fontaine!E19</f>
        <v>0</v>
      </c>
      <c r="G14" s="32">
        <f>[7]Fontaine!F19</f>
        <v>0</v>
      </c>
      <c r="H14" s="32">
        <f>[7]Fontaine!G19</f>
        <v>0</v>
      </c>
      <c r="I14" s="32">
        <f>[7]Fontaine!H19</f>
        <v>0</v>
      </c>
      <c r="J14" s="32">
        <f>[7]Fontaine!I19</f>
        <v>0</v>
      </c>
      <c r="K14" s="32">
        <f>[7]Fontaine!J19</f>
        <v>0</v>
      </c>
      <c r="L14" s="32">
        <f>[7]Fontaine!K19</f>
        <v>0</v>
      </c>
      <c r="M14" s="32">
        <f>[7]Fontaine!L19</f>
        <v>0</v>
      </c>
      <c r="N14" s="32">
        <f>[7]Fontaine!M19</f>
        <v>0</v>
      </c>
      <c r="O14" s="33">
        <f t="shared" si="0"/>
        <v>0</v>
      </c>
    </row>
    <row r="15" spans="1:15" ht="15.6" thickTop="1" thickBot="1" x14ac:dyDescent="0.35">
      <c r="A15"/>
      <c r="B15" s="27" t="s">
        <v>34</v>
      </c>
      <c r="C15" s="31">
        <f>'[7]Eclairage des voies publiques'!B22</f>
        <v>0</v>
      </c>
      <c r="D15" s="32">
        <f>'[7]Eclairage des voies publiques'!C22</f>
        <v>0</v>
      </c>
      <c r="E15" s="32">
        <f>'[7]Eclairage des voies publiques'!D22</f>
        <v>0</v>
      </c>
      <c r="F15" s="32">
        <f>'[7]Eclairage des voies publiques'!E22</f>
        <v>0</v>
      </c>
      <c r="G15" s="32">
        <f>'[7]Eclairage des voies publiques'!F22</f>
        <v>0</v>
      </c>
      <c r="H15" s="32">
        <f>'[7]Eclairage des voies publiques'!G22</f>
        <v>0</v>
      </c>
      <c r="I15" s="32">
        <f>'[7]Eclairage des voies publiques'!H22</f>
        <v>0</v>
      </c>
      <c r="J15" s="32">
        <f>'[7]Eclairage des voies publiques'!I22</f>
        <v>0</v>
      </c>
      <c r="K15" s="32">
        <f>'[7]Eclairage des voies publiques'!J22</f>
        <v>0</v>
      </c>
      <c r="L15" s="32">
        <f>'[7]Eclairage des voies publiques'!K22</f>
        <v>0</v>
      </c>
      <c r="M15" s="32">
        <f>'[7]Eclairage des voies publiques'!L22</f>
        <v>0</v>
      </c>
      <c r="N15" s="32">
        <f>'[7]Eclairage des voies publiques'!M22</f>
        <v>0</v>
      </c>
      <c r="O15" s="33">
        <f t="shared" si="0"/>
        <v>0</v>
      </c>
    </row>
    <row r="16" spans="1:15" ht="15.6" thickTop="1" thickBot="1" x14ac:dyDescent="0.35">
      <c r="A16"/>
      <c r="B16" s="27" t="s">
        <v>35</v>
      </c>
      <c r="C16" s="31">
        <f>'[7]Mur de cloture'!B25</f>
        <v>0</v>
      </c>
      <c r="D16" s="32">
        <f>'[7]Mur de cloture'!C25</f>
        <v>0</v>
      </c>
      <c r="E16" s="32">
        <f>'[7]Mur de cloture'!D25</f>
        <v>5450</v>
      </c>
      <c r="F16" s="32">
        <f>'[7]Mur de cloture'!E25</f>
        <v>17900</v>
      </c>
      <c r="G16" s="32">
        <f>'[7]Mur de cloture'!F25</f>
        <v>11513</v>
      </c>
      <c r="H16" s="32">
        <f>'[7]Mur de cloture'!G25</f>
        <v>12250</v>
      </c>
      <c r="I16" s="32">
        <f>'[7]Mur de cloture'!H25</f>
        <v>0</v>
      </c>
      <c r="J16" s="32">
        <f>'[7]Mur de cloture'!I25</f>
        <v>0</v>
      </c>
      <c r="K16" s="32">
        <f>'[7]Mur de cloture'!J25</f>
        <v>0</v>
      </c>
      <c r="L16" s="32">
        <f>'[7]Mur de cloture'!K25</f>
        <v>0</v>
      </c>
      <c r="M16" s="32">
        <f>'[7]Mur de cloture'!L25</f>
        <v>0</v>
      </c>
      <c r="N16" s="32">
        <f>'[7]Mur de cloture'!M25</f>
        <v>0</v>
      </c>
      <c r="O16" s="33">
        <f t="shared" si="0"/>
        <v>47113</v>
      </c>
    </row>
    <row r="17" spans="1:16" ht="15.6" thickTop="1" thickBot="1" x14ac:dyDescent="0.35">
      <c r="A17"/>
      <c r="B17" s="27" t="s">
        <v>36</v>
      </c>
      <c r="C17" s="31">
        <f>'[7]Jardin du lac'!B29</f>
        <v>0</v>
      </c>
      <c r="D17" s="32">
        <f>'[7]Jardin du lac'!C29</f>
        <v>0</v>
      </c>
      <c r="E17" s="32">
        <f>'[7]Jardin du lac'!D29</f>
        <v>0</v>
      </c>
      <c r="F17" s="32">
        <f>'[7]Jardin du lac'!E29</f>
        <v>0</v>
      </c>
      <c r="G17" s="32">
        <f>'[7]Jardin du lac'!F29</f>
        <v>0</v>
      </c>
      <c r="H17" s="32">
        <f>'[7]Jardin du lac'!G29</f>
        <v>0</v>
      </c>
      <c r="I17" s="32">
        <f>'[7]Jardin du lac'!H29</f>
        <v>0</v>
      </c>
      <c r="J17" s="32">
        <f>'[7]Jardin du lac'!I29</f>
        <v>0</v>
      </c>
      <c r="K17" s="32">
        <f>'[7]Jardin du lac'!J29</f>
        <v>0</v>
      </c>
      <c r="L17" s="32">
        <f>'[7]Jardin du lac'!K29</f>
        <v>0</v>
      </c>
      <c r="M17" s="32">
        <f>'[7]Jardin du lac'!L29</f>
        <v>0</v>
      </c>
      <c r="N17" s="32">
        <f>'[7]Jardin du lac'!M29</f>
        <v>0</v>
      </c>
      <c r="O17" s="33">
        <f t="shared" si="0"/>
        <v>0</v>
      </c>
    </row>
    <row r="18" spans="1:16" ht="15.6" thickTop="1" thickBot="1" x14ac:dyDescent="0.35">
      <c r="A18"/>
      <c r="B18" s="27" t="s">
        <v>37</v>
      </c>
      <c r="C18" s="31">
        <f>'[7]Rénov passages'!B20</f>
        <v>0</v>
      </c>
      <c r="D18" s="32">
        <f>'[7]Rénov passages'!C20</f>
        <v>0</v>
      </c>
      <c r="E18" s="32">
        <f>'[7]Rénov passages'!D20</f>
        <v>0</v>
      </c>
      <c r="F18" s="32">
        <f>'[7]Rénov passages'!E20</f>
        <v>0</v>
      </c>
      <c r="G18" s="32">
        <f>'[7]Rénov passages'!F20</f>
        <v>0</v>
      </c>
      <c r="H18" s="32">
        <f>'[7]Rénov passages'!G20</f>
        <v>0</v>
      </c>
      <c r="I18" s="32">
        <f>'[7]Rénov passages'!H20</f>
        <v>0</v>
      </c>
      <c r="J18" s="32">
        <f>'[7]Rénov passages'!I20</f>
        <v>0</v>
      </c>
      <c r="K18" s="32">
        <f>'[7]Rénov passages'!J20</f>
        <v>0</v>
      </c>
      <c r="L18" s="32">
        <f>'[7]Rénov passages'!K20</f>
        <v>0</v>
      </c>
      <c r="M18" s="32">
        <f>'[7]Rénov passages'!L20</f>
        <v>0</v>
      </c>
      <c r="N18" s="32">
        <f>'[7]Rénov passages'!M20</f>
        <v>0</v>
      </c>
      <c r="O18" s="33">
        <f t="shared" si="0"/>
        <v>0</v>
      </c>
    </row>
    <row r="19" spans="1:16" ht="15.6" thickTop="1" thickBot="1" x14ac:dyDescent="0.35">
      <c r="A19"/>
      <c r="B19" s="27" t="s">
        <v>38</v>
      </c>
      <c r="C19" s="31">
        <f>'[7]Rénov parking'!B18</f>
        <v>0</v>
      </c>
      <c r="D19" s="32">
        <f>'[7]Rénov parking'!C18</f>
        <v>0</v>
      </c>
      <c r="E19" s="32">
        <f>'[7]Rénov parking'!D18</f>
        <v>0</v>
      </c>
      <c r="F19" s="32">
        <f>'[7]Rénov parking'!E18</f>
        <v>0</v>
      </c>
      <c r="G19" s="32">
        <f>'[7]Rénov parking'!F18</f>
        <v>0</v>
      </c>
      <c r="H19" s="32">
        <f>'[7]Rénov parking'!G18</f>
        <v>0</v>
      </c>
      <c r="I19" s="32">
        <f>'[7]Rénov parking'!H18</f>
        <v>0</v>
      </c>
      <c r="J19" s="32">
        <f>'[7]Rénov parking'!I18</f>
        <v>0</v>
      </c>
      <c r="K19" s="32">
        <f>'[7]Rénov parking'!J18</f>
        <v>0</v>
      </c>
      <c r="L19" s="32">
        <f>'[7]Rénov parking'!K18</f>
        <v>0</v>
      </c>
      <c r="M19" s="32">
        <f>'[7]Rénov parking'!L18</f>
        <v>0</v>
      </c>
      <c r="N19" s="32">
        <f>'[7]Rénov parking'!M18</f>
        <v>0</v>
      </c>
      <c r="O19" s="33">
        <f t="shared" si="0"/>
        <v>0</v>
      </c>
    </row>
    <row r="20" spans="1:16" ht="15.6" thickTop="1" thickBot="1" x14ac:dyDescent="0.35">
      <c r="A20"/>
      <c r="B20" s="27" t="s">
        <v>39</v>
      </c>
      <c r="C20" s="31">
        <f>'[7]Canal paysager'!B45</f>
        <v>0</v>
      </c>
      <c r="D20" s="32">
        <f>'[7]Canal paysager'!C45</f>
        <v>400</v>
      </c>
      <c r="E20" s="32">
        <f>'[7]Canal paysager'!D45</f>
        <v>0</v>
      </c>
      <c r="F20" s="32">
        <f>'[7]Canal paysager'!E45</f>
        <v>0</v>
      </c>
      <c r="G20" s="32">
        <f>'[7]Canal paysager'!F45</f>
        <v>0</v>
      </c>
      <c r="H20" s="32">
        <f>'[7]Canal paysager'!G45</f>
        <v>6120</v>
      </c>
      <c r="I20" s="32">
        <f>'[7]Canal paysager'!H45</f>
        <v>0</v>
      </c>
      <c r="J20" s="32">
        <f>'[7]Canal paysager'!I45</f>
        <v>0</v>
      </c>
      <c r="K20" s="32">
        <f>'[7]Canal paysager'!J45</f>
        <v>0</v>
      </c>
      <c r="L20" s="32">
        <f>'[7]Canal paysager'!K45</f>
        <v>0</v>
      </c>
      <c r="M20" s="32">
        <f>'[7]Canal paysager'!L45</f>
        <v>0</v>
      </c>
      <c r="N20" s="32">
        <f>'[7]Canal paysager'!M45</f>
        <v>0</v>
      </c>
      <c r="O20" s="33">
        <f>SUM(C20:N20)</f>
        <v>6520</v>
      </c>
    </row>
    <row r="21" spans="1:16" ht="15.6" thickTop="1" thickBot="1" x14ac:dyDescent="0.35">
      <c r="A21"/>
      <c r="B21" s="27" t="s">
        <v>41</v>
      </c>
      <c r="C21" s="32">
        <f>+'[7]Matériels et outillage '!B27</f>
        <v>0</v>
      </c>
      <c r="D21" s="32">
        <f>+'[7]Matériels et outillage '!C27</f>
        <v>18500</v>
      </c>
      <c r="E21" s="32">
        <f>+'[7]Matériels et outillage '!D27</f>
        <v>1620</v>
      </c>
      <c r="F21" s="32">
        <f>+'[7]Matériels et outillage '!E27</f>
        <v>5016</v>
      </c>
      <c r="G21" s="32">
        <f>+'[7]Matériels et outillage '!F27</f>
        <v>2020</v>
      </c>
      <c r="H21" s="32">
        <f>+'[7]Matériels et outillage '!G27</f>
        <v>28660</v>
      </c>
      <c r="I21" s="32">
        <f>+'[7]Matériels et outillage '!H27</f>
        <v>0</v>
      </c>
      <c r="J21" s="32">
        <f>+'[7]Matériels et outillage '!I27</f>
        <v>0</v>
      </c>
      <c r="K21" s="32">
        <f>+'[7]Matériels et outillage '!J27</f>
        <v>0</v>
      </c>
      <c r="L21" s="32">
        <f>+'[7]Matériels et outillage '!K27</f>
        <v>0</v>
      </c>
      <c r="M21" s="32">
        <f>+'[7]Matériels et outillage '!L27</f>
        <v>0</v>
      </c>
      <c r="N21" s="32">
        <f>+'[7]Matériels et outillage '!M27</f>
        <v>0</v>
      </c>
      <c r="O21" s="33">
        <f>SUM(C21:N21)</f>
        <v>55816</v>
      </c>
    </row>
    <row r="22" spans="1:16" ht="27.75" customHeight="1" thickTop="1" thickBot="1" x14ac:dyDescent="0.35">
      <c r="A22"/>
      <c r="B22" s="27" t="s">
        <v>40</v>
      </c>
      <c r="C22" s="34">
        <f>+'[7]Aménagement des nouveaux jardin'!B86</f>
        <v>3050</v>
      </c>
      <c r="D22" s="35">
        <f>+'[7]Aménagement des nouveaux jardin'!C86</f>
        <v>3284</v>
      </c>
      <c r="E22" s="35">
        <f>+'[7]Aménagement des nouveaux jardin'!D86</f>
        <v>3333.6</v>
      </c>
      <c r="F22" s="35">
        <f>+'[7]Aménagement des nouveaux jardin'!E86</f>
        <v>0</v>
      </c>
      <c r="G22" s="35">
        <f>+'[7]Aménagement des nouveaux jardin'!F86</f>
        <v>0</v>
      </c>
      <c r="H22" s="35">
        <f>+'[7]Aménagement des nouveaux jardin'!G86</f>
        <v>0</v>
      </c>
      <c r="I22" s="35">
        <f>+'[7]Aménagement des nouveaux jardin'!H86</f>
        <v>0</v>
      </c>
      <c r="J22" s="35">
        <f>+'[7]Aménagement des nouveaux jardin'!I86</f>
        <v>0</v>
      </c>
      <c r="K22" s="35">
        <f>+'[7]Aménagement des nouveaux jardin'!J86</f>
        <v>0</v>
      </c>
      <c r="L22" s="35">
        <f>+'[7]Aménagement des nouveaux jardin'!K86</f>
        <v>0</v>
      </c>
      <c r="M22" s="35">
        <f>+'[7]Aménagement des nouveaux jardin'!L86</f>
        <v>0</v>
      </c>
      <c r="N22" s="35">
        <f>+'[7]Aménagement des nouveaux jardin'!M86</f>
        <v>0</v>
      </c>
      <c r="O22" s="36">
        <f>SUM(C22:N22)</f>
        <v>9667.6</v>
      </c>
    </row>
    <row r="23" spans="1:16" ht="15.6" thickTop="1" thickBot="1" x14ac:dyDescent="0.35">
      <c r="A23"/>
      <c r="B23" s="37"/>
      <c r="C23" s="34">
        <f>SUM(C6:C22)</f>
        <v>341237</v>
      </c>
      <c r="D23" s="35">
        <f t="shared" ref="D23:N23" si="1">SUM(D6:D22)</f>
        <v>128838</v>
      </c>
      <c r="E23" s="35">
        <f t="shared" si="1"/>
        <v>272688.09999999998</v>
      </c>
      <c r="F23" s="35">
        <f t="shared" si="1"/>
        <v>65998.399999999994</v>
      </c>
      <c r="G23" s="35">
        <f t="shared" si="1"/>
        <v>88965</v>
      </c>
      <c r="H23" s="35">
        <f t="shared" si="1"/>
        <v>84862.5</v>
      </c>
      <c r="I23" s="35">
        <f t="shared" si="1"/>
        <v>0</v>
      </c>
      <c r="J23" s="35">
        <f t="shared" si="1"/>
        <v>0</v>
      </c>
      <c r="K23" s="35">
        <f t="shared" si="1"/>
        <v>0</v>
      </c>
      <c r="L23" s="35">
        <f t="shared" si="1"/>
        <v>0</v>
      </c>
      <c r="M23" s="35">
        <f t="shared" si="1"/>
        <v>0</v>
      </c>
      <c r="N23" s="35">
        <f t="shared" si="1"/>
        <v>0</v>
      </c>
      <c r="O23" s="41">
        <f>SUM(O6:O22)</f>
        <v>982589</v>
      </c>
      <c r="P23" s="39">
        <f>O23-'[7]Récap Inv'!$H$24</f>
        <v>0</v>
      </c>
    </row>
    <row r="24" spans="1:16" x14ac:dyDescent="0.3">
      <c r="B24"/>
      <c r="C24"/>
      <c r="D24"/>
      <c r="E24"/>
      <c r="F24"/>
      <c r="H24" s="38"/>
    </row>
    <row r="25" spans="1:16" ht="31.2" customHeight="1" x14ac:dyDescent="0.3">
      <c r="M25" s="46" t="s">
        <v>46</v>
      </c>
      <c r="N25" s="46"/>
      <c r="O25" s="40">
        <v>670000</v>
      </c>
    </row>
    <row r="26" spans="1:16" ht="31.2" customHeight="1" x14ac:dyDescent="0.3">
      <c r="F26" s="47"/>
      <c r="M26" s="46" t="s">
        <v>21</v>
      </c>
      <c r="N26" s="46"/>
      <c r="O26" s="40">
        <f>+O25-O23</f>
        <v>-312589</v>
      </c>
    </row>
  </sheetData>
  <mergeCells count="3">
    <mergeCell ref="C4:N4"/>
    <mergeCell ref="M25:N25"/>
    <mergeCell ref="M26:N26"/>
  </mergeCells>
  <printOptions horizontalCentered="1"/>
  <pageMargins left="0" right="0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 budget de fonctionnement</vt:lpstr>
      <vt:lpstr>Suivi budget d'investissement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cp:lastPrinted>2021-07-14T21:44:09Z</cp:lastPrinted>
  <dcterms:created xsi:type="dcterms:W3CDTF">2019-02-02T16:12:42Z</dcterms:created>
  <dcterms:modified xsi:type="dcterms:W3CDTF">2025-07-07T18:28:47Z</dcterms:modified>
</cp:coreProperties>
</file>